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ЭҮ-4\"/>
    </mc:Choice>
  </mc:AlternateContent>
  <bookViews>
    <workbookView xWindow="0" yWindow="0" windowWidth="28800" windowHeight="12600" tabRatio="992" activeTab="7"/>
  </bookViews>
  <sheets>
    <sheet name="Sheet1" sheetId="60" r:id="rId1"/>
    <sheet name="Sheet2" sheetId="61" r:id="rId2"/>
    <sheet name="2023.01" sheetId="62" r:id="rId3"/>
    <sheet name="2023.2" sheetId="63" r:id="rId4"/>
    <sheet name="2023.3" sheetId="64" r:id="rId5"/>
    <sheet name="2023.4" sheetId="65" r:id="rId6"/>
    <sheet name="2023.5" sheetId="66" r:id="rId7"/>
    <sheet name="2023.6" sheetId="67" r:id="rId8"/>
  </sheets>
  <calcPr calcId="162913" concurrentCalc="0"/>
</workbook>
</file>

<file path=xl/calcChain.xml><?xml version="1.0" encoding="utf-8"?>
<calcChain xmlns="http://schemas.openxmlformats.org/spreadsheetml/2006/main">
  <c r="I37" i="67" l="1"/>
  <c r="I42" i="67"/>
  <c r="G46" i="67"/>
  <c r="I46" i="67"/>
  <c r="I65" i="67"/>
  <c r="I55" i="67"/>
  <c r="I57" i="67"/>
  <c r="I58" i="67"/>
  <c r="I59" i="67"/>
  <c r="I60" i="67"/>
  <c r="I61" i="67"/>
  <c r="I62" i="67"/>
  <c r="I63" i="67"/>
  <c r="I64" i="67"/>
  <c r="I54" i="67"/>
  <c r="I50" i="67"/>
  <c r="I51" i="67"/>
  <c r="I52" i="67"/>
  <c r="I49" i="67"/>
  <c r="I47" i="67"/>
  <c r="I44" i="67"/>
  <c r="I43" i="67"/>
  <c r="I40" i="67"/>
  <c r="I39" i="67"/>
  <c r="I38" i="67"/>
  <c r="I33" i="67"/>
  <c r="I34" i="67"/>
  <c r="I35" i="67"/>
  <c r="I36" i="67"/>
  <c r="I32" i="67"/>
  <c r="I31" i="67"/>
  <c r="I30" i="67"/>
  <c r="I29" i="67"/>
  <c r="I27" i="67"/>
  <c r="I26" i="67"/>
  <c r="I25" i="67"/>
  <c r="I24" i="67"/>
  <c r="I20" i="67"/>
  <c r="I21" i="67"/>
  <c r="I22" i="67"/>
  <c r="I19" i="67"/>
  <c r="I18" i="67"/>
  <c r="I16" i="67"/>
  <c r="I15" i="67"/>
  <c r="G36" i="67"/>
  <c r="G34" i="67"/>
  <c r="G37" i="67"/>
  <c r="G23" i="67"/>
  <c r="G65" i="67"/>
  <c r="G53" i="67"/>
  <c r="G42" i="67"/>
  <c r="G45" i="67"/>
  <c r="G41" i="67"/>
  <c r="G28" i="67"/>
  <c r="G55" i="67"/>
  <c r="G56" i="67"/>
  <c r="G57" i="67"/>
  <c r="G58" i="67"/>
  <c r="G59" i="67"/>
  <c r="G60" i="67"/>
  <c r="G61" i="67"/>
  <c r="G62" i="67"/>
  <c r="G63" i="67"/>
  <c r="G64" i="67"/>
  <c r="G54" i="67"/>
  <c r="I53" i="67"/>
  <c r="G50" i="67"/>
  <c r="G51" i="67"/>
  <c r="G52" i="67"/>
  <c r="G48" i="67"/>
  <c r="G49" i="67"/>
  <c r="G47" i="67"/>
  <c r="G44" i="67"/>
  <c r="G43" i="67"/>
  <c r="G40" i="67"/>
  <c r="G39" i="67"/>
  <c r="G38" i="67"/>
  <c r="G30" i="67"/>
  <c r="G31" i="67"/>
  <c r="G32" i="67"/>
  <c r="G33" i="67"/>
  <c r="G35" i="67"/>
  <c r="G29" i="67"/>
  <c r="G26" i="67"/>
  <c r="G27" i="67"/>
  <c r="G25" i="67"/>
  <c r="G24" i="67"/>
  <c r="G20" i="67"/>
  <c r="G21" i="67"/>
  <c r="G22" i="67"/>
  <c r="G19" i="67"/>
  <c r="G18" i="67"/>
  <c r="G16" i="67"/>
  <c r="G15" i="67"/>
  <c r="H27" i="67"/>
  <c r="H26" i="67"/>
  <c r="F24" i="67"/>
  <c r="F25" i="67"/>
  <c r="H24" i="67"/>
  <c r="H25" i="67"/>
  <c r="F28" i="67"/>
  <c r="I28" i="67"/>
  <c r="B24" i="67"/>
  <c r="B25" i="67"/>
  <c r="B26" i="67"/>
  <c r="B27" i="67"/>
  <c r="I48" i="67"/>
  <c r="I66" i="67"/>
  <c r="I45" i="67"/>
  <c r="I41" i="67"/>
  <c r="I23" i="67"/>
  <c r="I17" i="67"/>
  <c r="I67" i="67"/>
  <c r="I68" i="67"/>
  <c r="I69" i="67"/>
  <c r="G66" i="67"/>
  <c r="G17" i="67"/>
  <c r="G67" i="67"/>
  <c r="G68" i="67"/>
  <c r="G69" i="67"/>
  <c r="I58" i="66"/>
  <c r="G46" i="66"/>
  <c r="G49" i="66"/>
  <c r="G50" i="66"/>
  <c r="G57" i="66"/>
  <c r="G42" i="66"/>
  <c r="G45" i="66"/>
  <c r="G58" i="66"/>
  <c r="I45" i="66"/>
  <c r="I41" i="66"/>
  <c r="G41" i="66"/>
  <c r="I39" i="66"/>
  <c r="G37" i="66"/>
  <c r="G36" i="66"/>
  <c r="G38" i="66"/>
  <c r="G39" i="66"/>
  <c r="I35" i="66"/>
  <c r="I38" i="66"/>
  <c r="G35" i="66"/>
  <c r="I34" i="66"/>
  <c r="G34" i="66"/>
  <c r="I30" i="66"/>
  <c r="G30" i="66"/>
  <c r="I23" i="66"/>
  <c r="G23" i="66"/>
  <c r="I56" i="66"/>
  <c r="G56" i="66"/>
  <c r="I55" i="66"/>
  <c r="G55" i="66"/>
  <c r="I54" i="66"/>
  <c r="G54" i="66"/>
  <c r="I53" i="66"/>
  <c r="G53" i="66"/>
  <c r="I46" i="66"/>
  <c r="I57" i="66"/>
  <c r="I42" i="66"/>
  <c r="I37" i="66"/>
  <c r="I17" i="66"/>
  <c r="G17" i="66"/>
  <c r="I16" i="66"/>
  <c r="G16" i="66"/>
  <c r="I15" i="66"/>
  <c r="G15" i="66"/>
  <c r="I59" i="66"/>
  <c r="I60" i="66"/>
  <c r="I61" i="66"/>
  <c r="G26" i="65"/>
  <c r="G28" i="65"/>
  <c r="G29" i="65"/>
  <c r="G30" i="65"/>
  <c r="G31" i="65"/>
  <c r="G32" i="65"/>
  <c r="G33" i="65"/>
  <c r="G34" i="65"/>
  <c r="I26" i="65"/>
  <c r="I19" i="65"/>
  <c r="I21" i="65"/>
  <c r="I22" i="65"/>
  <c r="I15" i="65"/>
  <c r="I16" i="65"/>
  <c r="I17" i="65"/>
  <c r="I23" i="65"/>
  <c r="G18" i="65"/>
  <c r="G19" i="65"/>
  <c r="G21" i="65"/>
  <c r="G20" i="65"/>
  <c r="G22" i="65"/>
  <c r="G15" i="65"/>
  <c r="G16" i="65"/>
  <c r="G17" i="65"/>
  <c r="G23" i="65"/>
  <c r="I30" i="65"/>
  <c r="I31" i="65"/>
  <c r="I32" i="65"/>
  <c r="I33" i="65"/>
  <c r="I34" i="65"/>
  <c r="I24" i="65"/>
  <c r="I25" i="65"/>
  <c r="I35" i="65"/>
  <c r="I36" i="65"/>
  <c r="I37" i="65"/>
  <c r="I38" i="65"/>
  <c r="G24" i="65"/>
  <c r="G25" i="65"/>
  <c r="G35" i="65"/>
  <c r="G36" i="65"/>
  <c r="G37" i="65"/>
  <c r="G38" i="65"/>
  <c r="G23" i="64"/>
  <c r="I23" i="64"/>
  <c r="I24" i="64"/>
  <c r="I25" i="64"/>
  <c r="I26" i="64"/>
  <c r="I27" i="64"/>
  <c r="I28" i="64"/>
  <c r="I29" i="64"/>
  <c r="G25" i="64"/>
  <c r="G26" i="64"/>
  <c r="G27" i="64"/>
  <c r="G28" i="64"/>
  <c r="G29" i="64"/>
  <c r="H23" i="64"/>
  <c r="I21" i="64"/>
  <c r="I22" i="64"/>
  <c r="I30" i="64"/>
  <c r="G21" i="64"/>
  <c r="G22" i="64"/>
  <c r="G30" i="64"/>
  <c r="G18" i="64"/>
  <c r="G19" i="64"/>
  <c r="G15" i="64"/>
  <c r="G16" i="64"/>
  <c r="G17" i="64"/>
  <c r="G20" i="64"/>
  <c r="G31" i="64"/>
  <c r="I18" i="64"/>
  <c r="I16" i="64"/>
  <c r="I15" i="64"/>
  <c r="I17" i="64"/>
  <c r="I19" i="64"/>
  <c r="I20" i="64"/>
  <c r="I31" i="64"/>
  <c r="G32" i="64"/>
  <c r="G33" i="64"/>
  <c r="I32" i="64"/>
  <c r="I33" i="64"/>
  <c r="H21" i="63"/>
  <c r="H22" i="63"/>
  <c r="H23" i="63"/>
  <c r="H24" i="63"/>
  <c r="H19" i="63"/>
  <c r="H17" i="63"/>
  <c r="H20" i="63"/>
  <c r="F21" i="63"/>
  <c r="F22" i="63"/>
  <c r="F23" i="63"/>
  <c r="F24" i="63"/>
  <c r="F18" i="63"/>
  <c r="F19" i="63"/>
  <c r="F15" i="63"/>
  <c r="F16" i="63"/>
  <c r="F17" i="63"/>
  <c r="F20" i="63"/>
  <c r="G20" i="62"/>
  <c r="G21" i="62"/>
  <c r="G22" i="62"/>
  <c r="H22" i="62"/>
  <c r="G23" i="62"/>
  <c r="H23" i="62"/>
  <c r="G24" i="62"/>
  <c r="H24" i="62"/>
  <c r="G25" i="62"/>
  <c r="H25" i="62"/>
  <c r="G17" i="62"/>
  <c r="H17" i="62"/>
  <c r="G19" i="62"/>
  <c r="H19" i="62"/>
  <c r="H20" i="62"/>
  <c r="G16" i="62"/>
  <c r="H16" i="62"/>
  <c r="F25" i="62"/>
  <c r="F24" i="62"/>
  <c r="F23" i="62"/>
  <c r="F22" i="62"/>
  <c r="F19" i="62"/>
  <c r="F20" i="62"/>
  <c r="F17" i="62"/>
  <c r="F16" i="62"/>
  <c r="H26" i="62"/>
  <c r="H27" i="62"/>
  <c r="H18" i="62"/>
  <c r="H21" i="62"/>
  <c r="F18" i="62"/>
  <c r="F21" i="62"/>
  <c r="F26" i="62"/>
  <c r="F27" i="62"/>
  <c r="H54" i="61"/>
  <c r="H55" i="61"/>
  <c r="H43" i="61"/>
  <c r="H44" i="61"/>
  <c r="H45" i="61"/>
  <c r="H46" i="61"/>
  <c r="H47" i="61"/>
  <c r="H48" i="61"/>
  <c r="H49" i="61"/>
  <c r="H50" i="61"/>
  <c r="H51" i="61"/>
  <c r="H52" i="61"/>
  <c r="H53" i="61"/>
  <c r="H56" i="61"/>
  <c r="H23" i="61"/>
  <c r="H24" i="61"/>
  <c r="G21" i="61"/>
  <c r="H21" i="61"/>
  <c r="H22" i="61"/>
  <c r="H25" i="61"/>
  <c r="H26" i="61"/>
  <c r="H27" i="61"/>
  <c r="H33" i="61"/>
  <c r="H34" i="61"/>
  <c r="H35" i="61"/>
  <c r="H36" i="61"/>
  <c r="H19" i="61"/>
  <c r="H18" i="61"/>
  <c r="H20" i="61"/>
  <c r="H28" i="61"/>
  <c r="H29" i="61"/>
  <c r="H30" i="61"/>
  <c r="H31" i="61"/>
  <c r="H32" i="61"/>
  <c r="H38" i="61"/>
  <c r="H39" i="61"/>
  <c r="G40" i="61"/>
  <c r="H40" i="61"/>
  <c r="F38" i="61"/>
  <c r="F39" i="61"/>
  <c r="F40" i="61"/>
  <c r="F41" i="61"/>
  <c r="H57" i="61"/>
  <c r="H58" i="61"/>
  <c r="H59" i="61"/>
  <c r="H60" i="61"/>
  <c r="H62" i="61"/>
  <c r="H63" i="61"/>
  <c r="H64" i="61"/>
  <c r="H65" i="61"/>
  <c r="H66" i="61"/>
  <c r="H67" i="61"/>
  <c r="H68" i="61"/>
  <c r="F57" i="61"/>
  <c r="F58" i="61"/>
  <c r="F59" i="61"/>
  <c r="F60" i="61"/>
  <c r="F62" i="61"/>
  <c r="F63" i="61"/>
  <c r="F64" i="61"/>
  <c r="F65" i="61"/>
  <c r="F66" i="61"/>
  <c r="F67" i="61"/>
  <c r="F68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33" i="61"/>
  <c r="F34" i="61"/>
  <c r="F35" i="61"/>
  <c r="F36" i="61"/>
  <c r="F28" i="61"/>
  <c r="F29" i="61"/>
  <c r="F30" i="61"/>
  <c r="F31" i="61"/>
  <c r="F32" i="61"/>
  <c r="F21" i="61"/>
  <c r="F22" i="61"/>
  <c r="F23" i="61"/>
  <c r="F24" i="61"/>
  <c r="F25" i="61"/>
  <c r="F26" i="61"/>
  <c r="F27" i="61"/>
  <c r="F18" i="61"/>
  <c r="F19" i="61"/>
  <c r="F20" i="61"/>
  <c r="G65" i="60"/>
  <c r="G62" i="60"/>
  <c r="G60" i="60"/>
  <c r="G53" i="60"/>
  <c r="H53" i="60"/>
  <c r="G54" i="60"/>
  <c r="H54" i="60"/>
  <c r="G55" i="60"/>
  <c r="G56" i="60"/>
  <c r="G57" i="60"/>
  <c r="H57" i="60"/>
  <c r="G52" i="60"/>
  <c r="H52" i="60"/>
  <c r="H55" i="60"/>
  <c r="H56" i="60"/>
  <c r="F52" i="60"/>
  <c r="F43" i="60"/>
  <c r="F44" i="60"/>
  <c r="F45" i="60"/>
  <c r="F46" i="60"/>
  <c r="F47" i="60"/>
  <c r="F48" i="60"/>
  <c r="F49" i="60"/>
  <c r="F50" i="60"/>
  <c r="F51" i="60"/>
  <c r="F53" i="60"/>
  <c r="F54" i="60"/>
  <c r="F55" i="60"/>
  <c r="F56" i="60"/>
  <c r="F57" i="60"/>
  <c r="F58" i="60"/>
  <c r="H50" i="60"/>
  <c r="G48" i="60"/>
  <c r="G47" i="60"/>
  <c r="G44" i="60"/>
  <c r="G45" i="60"/>
  <c r="G43" i="60"/>
  <c r="G46" i="60"/>
  <c r="G40" i="60"/>
  <c r="G36" i="60"/>
  <c r="G35" i="60"/>
  <c r="G34" i="60"/>
  <c r="G32" i="60"/>
  <c r="G31" i="60"/>
  <c r="G30" i="60"/>
  <c r="G26" i="60"/>
  <c r="G25" i="60"/>
  <c r="G24" i="60"/>
  <c r="G23" i="60"/>
  <c r="G22" i="60"/>
  <c r="G20" i="60"/>
  <c r="H43" i="60"/>
  <c r="H44" i="60"/>
  <c r="H45" i="60"/>
  <c r="H46" i="60"/>
  <c r="H47" i="60"/>
  <c r="H48" i="60"/>
  <c r="H49" i="60"/>
  <c r="H51" i="60"/>
  <c r="H58" i="60"/>
  <c r="H60" i="60"/>
  <c r="F60" i="60"/>
  <c r="H30" i="60"/>
  <c r="F30" i="60"/>
  <c r="F34" i="60"/>
  <c r="F35" i="60"/>
  <c r="F36" i="60"/>
  <c r="F40" i="60"/>
  <c r="H24" i="60"/>
  <c r="H25" i="60"/>
  <c r="H26" i="60"/>
  <c r="F24" i="60"/>
  <c r="F25" i="60"/>
  <c r="F26" i="60"/>
  <c r="F27" i="60"/>
  <c r="H27" i="60"/>
  <c r="H61" i="60"/>
  <c r="H59" i="60"/>
  <c r="F61" i="60"/>
  <c r="F59" i="60"/>
  <c r="F32" i="60"/>
  <c r="H31" i="60"/>
  <c r="H32" i="60"/>
  <c r="F31" i="60"/>
  <c r="H23" i="60"/>
  <c r="F23" i="60"/>
  <c r="H69" i="60"/>
  <c r="F69" i="60"/>
  <c r="H68" i="60"/>
  <c r="F68" i="60"/>
  <c r="H67" i="60"/>
  <c r="F67" i="60"/>
  <c r="H66" i="60"/>
  <c r="F66" i="60"/>
  <c r="H65" i="60"/>
  <c r="F65" i="60"/>
  <c r="H64" i="60"/>
  <c r="F64" i="60"/>
  <c r="H62" i="60"/>
  <c r="F62" i="60"/>
  <c r="H36" i="60"/>
  <c r="H35" i="60"/>
  <c r="H34" i="60"/>
  <c r="H40" i="60"/>
  <c r="H39" i="60"/>
  <c r="F39" i="60"/>
  <c r="H29" i="60"/>
  <c r="F29" i="60"/>
  <c r="H22" i="60"/>
  <c r="F22" i="60"/>
  <c r="H20" i="60"/>
  <c r="F20" i="60"/>
  <c r="H19" i="60"/>
  <c r="F19" i="60"/>
  <c r="F28" i="60"/>
  <c r="F41" i="60"/>
  <c r="F70" i="60"/>
  <c r="H41" i="60"/>
  <c r="F21" i="60"/>
  <c r="H21" i="60"/>
  <c r="H70" i="60"/>
  <c r="F33" i="60"/>
  <c r="F37" i="60"/>
  <c r="H33" i="60"/>
  <c r="H28" i="60"/>
  <c r="H37" i="60"/>
  <c r="H71" i="60"/>
  <c r="F71" i="60"/>
  <c r="F42" i="60"/>
  <c r="H42" i="60"/>
  <c r="H38" i="60"/>
  <c r="F38" i="60"/>
  <c r="H72" i="60"/>
  <c r="H73" i="60"/>
  <c r="H74" i="60"/>
  <c r="F72" i="60"/>
  <c r="F73" i="60"/>
  <c r="F74" i="60"/>
  <c r="H28" i="62"/>
  <c r="H29" i="62"/>
  <c r="H30" i="62"/>
  <c r="F28" i="62"/>
  <c r="F29" i="62"/>
  <c r="F30" i="62"/>
  <c r="F69" i="61"/>
  <c r="F42" i="61"/>
  <c r="F37" i="61"/>
  <c r="H37" i="61"/>
  <c r="H69" i="61"/>
  <c r="H41" i="61"/>
  <c r="H42" i="61"/>
  <c r="H70" i="61"/>
  <c r="F70" i="61"/>
  <c r="F71" i="61"/>
  <c r="F72" i="61"/>
  <c r="H71" i="61"/>
  <c r="H72" i="61"/>
  <c r="F25" i="63"/>
  <c r="F26" i="63"/>
  <c r="F27" i="63"/>
  <c r="H25" i="63"/>
  <c r="H26" i="63"/>
  <c r="H27" i="63"/>
  <c r="H28" i="63"/>
  <c r="H29" i="63"/>
  <c r="F28" i="63"/>
  <c r="F29" i="63"/>
  <c r="G59" i="66"/>
  <c r="G60" i="66"/>
  <c r="G61" i="66"/>
</calcChain>
</file>

<file path=xl/sharedStrings.xml><?xml version="1.0" encoding="utf-8"?>
<sst xmlns="http://schemas.openxmlformats.org/spreadsheetml/2006/main" count="819" uniqueCount="159">
  <si>
    <t>Дүн</t>
  </si>
  <si>
    <t>Танилцсан:</t>
  </si>
  <si>
    <t>Хянасан:</t>
  </si>
  <si>
    <t>Сансрын зургийн тайлал</t>
  </si>
  <si>
    <t>Төсөл, төсөв зохиолт</t>
  </si>
  <si>
    <t>Гүйцэтгэгч:</t>
  </si>
  <si>
    <t>Ажлын нэр, төрөл</t>
  </si>
  <si>
    <t>Тоо</t>
  </si>
  <si>
    <t>Танилцах маршрут</t>
  </si>
  <si>
    <t>Зохион байгуулалт</t>
  </si>
  <si>
    <t>Томилолтын зардал</t>
  </si>
  <si>
    <t>НӨАТ-10 %</t>
  </si>
  <si>
    <t>I</t>
  </si>
  <si>
    <t>II</t>
  </si>
  <si>
    <t>IV</t>
  </si>
  <si>
    <t>Үйлдвэрлэлийн тээвэр</t>
  </si>
  <si>
    <t>Хүн тээвэр</t>
  </si>
  <si>
    <t>Ачаа тээвэр</t>
  </si>
  <si>
    <t>VI</t>
  </si>
  <si>
    <t>VII</t>
  </si>
  <si>
    <t>IX</t>
  </si>
  <si>
    <t>ӨӨРИЙН ХҮЧНИЙ АЖЛЫН ДҮН /I+V+VI+VII+VIII/</t>
  </si>
  <si>
    <t>X</t>
  </si>
  <si>
    <t>XI</t>
  </si>
  <si>
    <t>XII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</si>
  <si>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</si>
  <si>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</si>
  <si>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</si>
  <si>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</si>
  <si>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</si>
  <si>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</si>
  <si>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</si>
  <si>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</si>
  <si>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</si>
  <si>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</si>
  <si>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</si>
  <si>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</si>
  <si>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</si>
  <si>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 xml:space="preserve">Сорьцлолтын дүн </t>
  </si>
  <si>
    <t>Тээврийн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</si>
  <si>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</si>
  <si>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</si>
  <si>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</si>
  <si>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</si>
  <si>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</si>
  <si>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</si>
  <si>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х.ө</t>
  </si>
  <si>
    <t>кв.км</t>
  </si>
  <si>
    <t>т.км</t>
  </si>
  <si>
    <t>Хоёрдогч литогеохимийн сорьц тороор</t>
  </si>
  <si>
    <t>сорьц</t>
  </si>
  <si>
    <t>км</t>
  </si>
  <si>
    <t>%</t>
  </si>
  <si>
    <t>Дээж бутлах- жижиг /200 гр хүртэл/</t>
  </si>
  <si>
    <t>ICP элемент / 20 элемент/</t>
  </si>
  <si>
    <t>кв.м</t>
  </si>
  <si>
    <t>Байрны түрээс / сард 135 кв.м /</t>
  </si>
  <si>
    <t>Фондын материал</t>
  </si>
  <si>
    <t>тодотгол</t>
  </si>
  <si>
    <t>Хөдөө ажлын зочид буудал</t>
  </si>
  <si>
    <t>Цахилгаан үүсгүүрийн шатахуун</t>
  </si>
  <si>
    <t>л</t>
  </si>
  <si>
    <t>ш</t>
  </si>
  <si>
    <t>Хьюндай маяти</t>
  </si>
  <si>
    <t>Краз-252</t>
  </si>
  <si>
    <t>Зил-131</t>
  </si>
  <si>
    <t>Захирал</t>
  </si>
  <si>
    <t>Ерөнхий геологич</t>
  </si>
  <si>
    <t>Төсвийн дүн: .5,498,850,198 /төгрөгөөр/</t>
  </si>
  <si>
    <t>УЛСЫН ТӨСВИЙН ХӨРӨНГӨӨР ХЭРЭГЖҮҮЛЖ БАЙГАА " ЭРЭЛ ҮНЭЛГЭЭ-4-2022" ТӨСЛИЙН</t>
  </si>
  <si>
    <t>Геологийн Судалгааны Төв</t>
  </si>
  <si>
    <t>Эдийн засагч</t>
  </si>
  <si>
    <t>/Н.Ганболд/</t>
  </si>
  <si>
    <t>/Г.Мөнхзул/</t>
  </si>
  <si>
    <t>/Б.Содовжамц/</t>
  </si>
  <si>
    <t>/Э.Мөнх-Ирээдүй/</t>
  </si>
  <si>
    <t>Эрлийн маршрут</t>
  </si>
  <si>
    <t>Авто маршрут</t>
  </si>
  <si>
    <t>Цэглэн сорьц</t>
  </si>
  <si>
    <t>Штуф сорьц</t>
  </si>
  <si>
    <t>Дээж бутлах- жижиг /хувааллтай 2кг хүртэл/</t>
  </si>
  <si>
    <t>Байгаль орчин нөхөн сэргээх</t>
  </si>
  <si>
    <t>Хүн тээвэр: хот хоорондын автобус/ 1талдаа/</t>
  </si>
  <si>
    <t>билет</t>
  </si>
  <si>
    <t>ТХ-ийн татвар, хураамж: Фургон</t>
  </si>
  <si>
    <t>1:25 000-ны масштабын эрэл</t>
  </si>
  <si>
    <t>1:10 000-ны масштабын эрэл</t>
  </si>
  <si>
    <t>Эрэл шалгалтын маршрут</t>
  </si>
  <si>
    <t>III</t>
  </si>
  <si>
    <t>V</t>
  </si>
  <si>
    <t>VIII</t>
  </si>
  <si>
    <t>Протолочекийн сорьц</t>
  </si>
  <si>
    <t>Хээрийн ажлын дүн</t>
  </si>
  <si>
    <t>протолочикийн дээж бутлах</t>
  </si>
  <si>
    <t>Алт</t>
  </si>
  <si>
    <t>Мөнгө</t>
  </si>
  <si>
    <t>Эрдэсийн хураангуй</t>
  </si>
  <si>
    <t>Протолочкийн дээж баяжуулах</t>
  </si>
  <si>
    <t>Лабораторийн дүн</t>
  </si>
  <si>
    <t>Зөвлөхийн ажил</t>
  </si>
  <si>
    <t>Шаварлаг эрдэс тодорхойлох</t>
  </si>
  <si>
    <t>Аншлиф бэлтгэх</t>
  </si>
  <si>
    <t>Тунгалаг шлиф бэлтгэх</t>
  </si>
  <si>
    <t>Минераграфын бүрэн</t>
  </si>
  <si>
    <t>Петрографийн хураангуй</t>
  </si>
  <si>
    <t>дээж</t>
  </si>
  <si>
    <t>2022 оны 10 дүгээр сарын 1-нээс 10 дүгээр сарын 31-ний өдөр хүртэл</t>
  </si>
  <si>
    <t>Суурин боловсруулалт</t>
  </si>
  <si>
    <t>2022 оны 11 дүгээр сарын 1-нээс 11 дүгээр сарын 30-ний өдөр хүртэл</t>
  </si>
  <si>
    <t>2023 оны 01 дүгээр сарын 1-нээс 01 дүгээр сарын 31-ний өдөр хүртэл</t>
  </si>
  <si>
    <t>Геологийн Судалгаа-Шинжилгээний Төв</t>
  </si>
  <si>
    <t>/Д.Мөнхбаатар/</t>
  </si>
  <si>
    <t xml:space="preserve">ӨӨРИЙН ХҮЧНИЙ АЖЛЫН ДҮН </t>
  </si>
  <si>
    <t>ГАДНЫ БАЙГУУЛЛАГЫН ДҮН</t>
  </si>
  <si>
    <t>НИЙТ АЖЛЫН ЦЭВЭР ДҮН</t>
  </si>
  <si>
    <t xml:space="preserve">НИЙТ АЖЛЫН ДҮН </t>
  </si>
  <si>
    <t>/Г.Батзориг/</t>
  </si>
  <si>
    <t>2023 оны 02 дүгээр сарын 1-нээс 02 дүгээр сарын 28-ний өдөр хүртэл</t>
  </si>
  <si>
    <t>2023 оны 03 дүгээр сарын 1-нээс 03 дүгээр сарын 31-ний өдөр хүртэл</t>
  </si>
  <si>
    <t>Соронзон зураглал</t>
  </si>
  <si>
    <t>Геофизикийн дүн</t>
  </si>
  <si>
    <t>төг</t>
  </si>
  <si>
    <t>2023 оны 04 дүгээр сарын 1-нээс 04 дүгээр сарын 30-ний өдөр хүртэл</t>
  </si>
  <si>
    <t>Төсвийн дүн: .5,496,872,838 /төгрөгөөр/</t>
  </si>
  <si>
    <t>Хүн тээвэр: УАЗ Фургон</t>
  </si>
  <si>
    <t>Хөдөө ажлын дүн</t>
  </si>
  <si>
    <t>керний хайрцаг /HQ/</t>
  </si>
  <si>
    <t>/Д.Отгонбаатар/</t>
  </si>
  <si>
    <t>1:10 000-ны  масштабын эрэл</t>
  </si>
  <si>
    <t>1:5000-ны масштабын эрэл</t>
  </si>
  <si>
    <t>Эрэл-шалгалтын маршрут</t>
  </si>
  <si>
    <t>Шлихийн дээжлэлт авах, угаах</t>
  </si>
  <si>
    <t>Штуфын сорьц</t>
  </si>
  <si>
    <t>Ховилон сорьц</t>
  </si>
  <si>
    <t>Сорьцлолтын дүн</t>
  </si>
  <si>
    <t>Үйлдвэрлэлийн тээвэр: УАЗ Фургон</t>
  </si>
  <si>
    <t>Ачаа тээвэр: Хьюндай маяти</t>
  </si>
  <si>
    <t xml:space="preserve">Хээрийн ажлын дүн </t>
  </si>
  <si>
    <t>Гадаад хяналт /20 элемент /</t>
  </si>
  <si>
    <t>Гадны лабораторийн дүн</t>
  </si>
  <si>
    <t>Албадмал туйлшралын дундаж градиент   /АТ-ДГ/</t>
  </si>
  <si>
    <t>Албадмал туйлшралын поль-дипол   /АТ-ПД/</t>
  </si>
  <si>
    <t>Хүн тээвэр: Хот хоорондын автобус /1 талдаа/</t>
  </si>
  <si>
    <t>2023 оны 05 дугаар сарын 1-нээс 05 дугаар сарын 31-ний өдөр хүртэл</t>
  </si>
  <si>
    <t>Суваг малтах, булах /механик/</t>
  </si>
  <si>
    <t>куб.м</t>
  </si>
  <si>
    <t>Сувгын баримтжуулалт</t>
  </si>
  <si>
    <t>т.м</t>
  </si>
  <si>
    <t>Баганат өрөмдлөг</t>
  </si>
  <si>
    <t>Цооногын баримтжуулалт</t>
  </si>
  <si>
    <t>Дүн /10-13/</t>
  </si>
  <si>
    <t>Анхдагч геохимийн сорьц</t>
  </si>
  <si>
    <t>Керний сорьц</t>
  </si>
  <si>
    <t>Хөдөө ажлын томилолт</t>
  </si>
  <si>
    <t>Хүндийн хүчний судалгаа</t>
  </si>
  <si>
    <t>ф.цэг</t>
  </si>
  <si>
    <t>2023 оны 06 дугаар сарын 1-нээс 06 дугаар сарын 30-ний өдөр хүртэл</t>
  </si>
  <si>
    <t>Төсвийн дүн: .5,496,850,198 /төгрөгөөр/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</si>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</sst>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04"/>
    </font>
    <font>
      <sz val="10"/>
      <name val="Arial Mon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right" vertical="center"/>
    </xf>
    <xf numFmtId="167" fontId="8" fillId="2" borderId="3" xfId="0" applyNumberFormat="1" applyFont="1" applyFill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43" fontId="8" fillId="2" borderId="3" xfId="7" applyFont="1" applyFill="1" applyBorder="1" applyAlignment="1">
      <alignment horizontal="right" vertical="center"/>
    </xf>
    <xf numFmtId="43" fontId="10" fillId="0" borderId="3" xfId="7" applyFont="1" applyFill="1" applyBorder="1" applyAlignment="1">
      <alignment horizontal="right" vertical="center"/>
    </xf>
    <xf numFmtId="43" fontId="8" fillId="0" borderId="3" xfId="7" applyFont="1" applyFill="1" applyBorder="1" applyAlignment="1">
      <alignment horizontal="right" vertical="center"/>
    </xf>
    <xf numFmtId="43" fontId="10" fillId="0" borderId="3" xfId="7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43" fontId="15" fillId="0" borderId="3" xfId="7" applyFont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horizontal="right" vertical="center"/>
    </xf>
    <xf numFmtId="43" fontId="16" fillId="2" borderId="3" xfId="7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Fill="1" applyBorder="1" applyAlignment="1">
      <alignment horizontal="right" vertical="center"/>
    </xf>
    <xf numFmtId="43" fontId="15" fillId="0" borderId="3" xfId="7" applyFont="1" applyFill="1" applyBorder="1" applyAlignment="1">
      <alignment horizontal="right" vertical="center"/>
    </xf>
    <xf numFmtId="166" fontId="16" fillId="2" borderId="3" xfId="0" applyNumberFormat="1" applyFont="1" applyFill="1" applyBorder="1" applyAlignment="1">
      <alignment horizontal="right" vertical="center"/>
    </xf>
    <xf numFmtId="4" fontId="16" fillId="2" borderId="3" xfId="0" applyNumberFormat="1" applyFont="1" applyFill="1" applyBorder="1" applyAlignment="1">
      <alignment horizontal="right" vertical="center"/>
    </xf>
    <xf numFmtId="166" fontId="15" fillId="0" borderId="3" xfId="0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right" vertical="center"/>
    </xf>
    <xf numFmtId="166" fontId="15" fillId="0" borderId="3" xfId="7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166" fontId="16" fillId="2" borderId="3" xfId="7" applyNumberFormat="1" applyFont="1" applyFill="1" applyBorder="1" applyAlignment="1">
      <alignment horizontal="right" vertical="center"/>
    </xf>
    <xf numFmtId="43" fontId="15" fillId="0" borderId="3" xfId="7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horizontal="right" vertical="center"/>
    </xf>
    <xf numFmtId="166" fontId="16" fillId="0" borderId="3" xfId="7" applyNumberFormat="1" applyFont="1" applyFill="1" applyBorder="1" applyAlignment="1">
      <alignment horizontal="right" vertical="center"/>
    </xf>
    <xf numFmtId="43" fontId="16" fillId="0" borderId="3" xfId="7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right" vertical="center"/>
    </xf>
    <xf numFmtId="167" fontId="16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3" fontId="17" fillId="2" borderId="3" xfId="0" applyNumberFormat="1" applyFont="1" applyFill="1" applyBorder="1" applyAlignment="1">
      <alignment horizontal="right" vertical="center"/>
    </xf>
    <xf numFmtId="43" fontId="17" fillId="2" borderId="3" xfId="7" applyFont="1" applyFill="1" applyBorder="1" applyAlignment="1">
      <alignment horizontal="right" vertical="center"/>
    </xf>
    <xf numFmtId="166" fontId="17" fillId="2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indent="44"/>
    </xf>
    <xf numFmtId="0" fontId="13" fillId="0" borderId="0" xfId="0" applyFont="1" applyAlignment="1">
      <alignment horizontal="right" indent="2"/>
    </xf>
    <xf numFmtId="0" fontId="14" fillId="0" borderId="0" xfId="0" applyFont="1" applyAlignment="1">
      <alignment horizontal="left" indent="10"/>
    </xf>
    <xf numFmtId="0" fontId="18" fillId="0" borderId="3" xfId="0" applyFont="1" applyBorder="1" applyAlignment="1">
      <alignment horizontal="right" vertical="center" wrapText="1"/>
    </xf>
    <xf numFmtId="166" fontId="18" fillId="0" borderId="3" xfId="7" applyNumberFormat="1" applyFont="1" applyBorder="1" applyAlignment="1">
      <alignment horizontal="center" vertical="center" wrapText="1"/>
    </xf>
    <xf numFmtId="168" fontId="18" fillId="0" borderId="3" xfId="7" applyNumberFormat="1" applyFont="1" applyBorder="1" applyAlignment="1">
      <alignment horizontal="center" vertical="center" wrapText="1"/>
    </xf>
    <xf numFmtId="166" fontId="19" fillId="0" borderId="3" xfId="7" applyNumberFormat="1" applyFont="1" applyBorder="1" applyAlignment="1">
      <alignment horizontal="center" vertical="center" wrapText="1"/>
    </xf>
    <xf numFmtId="168" fontId="19" fillId="0" borderId="3" xfId="7" applyNumberFormat="1" applyFont="1" applyBorder="1" applyAlignment="1">
      <alignment horizontal="center" vertical="center" wrapText="1"/>
    </xf>
    <xf numFmtId="166" fontId="20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68" fontId="15" fillId="0" borderId="3" xfId="7" applyNumberFormat="1" applyFont="1" applyBorder="1" applyAlignment="1">
      <alignment horizontal="right" vertical="center"/>
    </xf>
    <xf numFmtId="168" fontId="15" fillId="0" borderId="3" xfId="7" applyNumberFormat="1" applyFont="1" applyFill="1" applyBorder="1" applyAlignment="1">
      <alignment horizontal="right" vertical="center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0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27" t="s">
        <v>41</v>
      </c>
      <c r="B2" s="127"/>
      <c r="C2" s="127"/>
      <c r="D2" s="127"/>
      <c r="E2" s="127"/>
      <c r="F2" s="127"/>
      <c r="G2" s="127"/>
      <c r="H2" s="127"/>
    </row>
    <row r="3" spans="1:8">
      <c r="A3" s="127" t="s">
        <v>42</v>
      </c>
      <c r="B3" s="127"/>
      <c r="C3" s="127"/>
      <c r="D3" s="127"/>
      <c r="E3" s="127"/>
      <c r="F3" s="127"/>
      <c r="G3" s="127"/>
      <c r="H3" s="127"/>
    </row>
    <row r="4" spans="1:8">
      <c r="A4" s="127" t="s">
        <v>43</v>
      </c>
      <c r="B4" s="127"/>
      <c r="C4" s="127"/>
      <c r="D4" s="127"/>
      <c r="E4" s="127"/>
      <c r="F4" s="127"/>
      <c r="G4" s="127"/>
      <c r="H4" s="127"/>
    </row>
    <row r="8" spans="1:8" ht="15">
      <c r="B8" s="132" t="s">
        <v>69</v>
      </c>
      <c r="C8" s="132"/>
      <c r="D8" s="132"/>
      <c r="E8" s="132"/>
      <c r="F8" s="132"/>
      <c r="G8" s="132"/>
      <c r="H8" s="132"/>
    </row>
    <row r="9" spans="1:8" ht="15">
      <c r="B9" s="2"/>
      <c r="C9" s="2"/>
      <c r="D9" s="2"/>
      <c r="E9" s="2"/>
      <c r="F9" s="2"/>
    </row>
    <row r="10" spans="1:8" ht="15">
      <c r="B10" s="132" t="s">
        <v>33</v>
      </c>
      <c r="C10" s="132"/>
      <c r="D10" s="132"/>
      <c r="E10" s="132"/>
      <c r="F10" s="132"/>
      <c r="G10" s="132"/>
      <c r="H10" s="132"/>
    </row>
    <row r="11" spans="1:8" ht="15">
      <c r="B11" s="22"/>
      <c r="C11" s="22"/>
      <c r="D11" s="22"/>
      <c r="E11" s="22" t="s">
        <v>70</v>
      </c>
      <c r="F11" s="22"/>
    </row>
    <row r="12" spans="1:8">
      <c r="A12" s="127" t="s">
        <v>106</v>
      </c>
      <c r="B12" s="127"/>
      <c r="C12" s="127"/>
      <c r="D12" s="127"/>
      <c r="E12" s="127"/>
      <c r="F12" s="127"/>
      <c r="G12" s="127"/>
      <c r="H12" s="127"/>
    </row>
    <row r="13" spans="1:8">
      <c r="A13" s="20"/>
      <c r="B13" s="20"/>
      <c r="C13" s="20"/>
      <c r="D13" s="20"/>
      <c r="E13" s="20"/>
      <c r="F13" s="20"/>
      <c r="G13" s="20"/>
      <c r="H13" s="20"/>
    </row>
    <row r="14" spans="1:8">
      <c r="A14" s="127" t="s">
        <v>68</v>
      </c>
      <c r="B14" s="127"/>
      <c r="C14" s="127"/>
      <c r="D14" s="127"/>
      <c r="E14" s="127"/>
      <c r="F14" s="127"/>
      <c r="G14" s="127"/>
      <c r="H14" s="127"/>
    </row>
    <row r="16" spans="1:8">
      <c r="A16" s="128" t="s">
        <v>32</v>
      </c>
      <c r="B16" s="128" t="s">
        <v>6</v>
      </c>
      <c r="C16" s="129" t="s">
        <v>28</v>
      </c>
      <c r="D16" s="129" t="s">
        <v>29</v>
      </c>
      <c r="E16" s="131" t="s">
        <v>30</v>
      </c>
      <c r="F16" s="131"/>
      <c r="G16" s="131" t="s">
        <v>31</v>
      </c>
      <c r="H16" s="131"/>
    </row>
    <row r="17" spans="1:8">
      <c r="A17" s="128"/>
      <c r="B17" s="128"/>
      <c r="C17" s="130"/>
      <c r="D17" s="130"/>
      <c r="E17" s="23" t="s">
        <v>7</v>
      </c>
      <c r="F17" s="23" t="s">
        <v>0</v>
      </c>
      <c r="G17" s="23" t="s">
        <v>7</v>
      </c>
      <c r="H17" s="23" t="s">
        <v>0</v>
      </c>
    </row>
    <row r="18" spans="1:8">
      <c r="A18" s="23">
        <v>0</v>
      </c>
      <c r="B18" s="23">
        <v>1</v>
      </c>
      <c r="C18" s="24">
        <v>2</v>
      </c>
      <c r="D18" s="24">
        <v>3</v>
      </c>
      <c r="E18" s="23">
        <v>4</v>
      </c>
      <c r="F18" s="23">
        <v>5</v>
      </c>
      <c r="G18" s="23">
        <v>6</v>
      </c>
      <c r="H18" s="23">
        <v>7</v>
      </c>
    </row>
    <row r="19" spans="1:8">
      <c r="A19" s="23"/>
      <c r="B19" s="4" t="s">
        <v>4</v>
      </c>
      <c r="C19" s="23" t="s">
        <v>46</v>
      </c>
      <c r="D19" s="5">
        <v>160000</v>
      </c>
      <c r="E19" s="6"/>
      <c r="F19" s="5">
        <f>E19*D19</f>
        <v>0</v>
      </c>
      <c r="G19" s="6">
        <v>43</v>
      </c>
      <c r="H19" s="5">
        <f>G19*D19</f>
        <v>6880000</v>
      </c>
    </row>
    <row r="20" spans="1:8">
      <c r="A20" s="23"/>
      <c r="B20" s="4" t="s">
        <v>3</v>
      </c>
      <c r="C20" s="23" t="s">
        <v>47</v>
      </c>
      <c r="D20" s="5">
        <v>5900</v>
      </c>
      <c r="E20" s="6">
        <v>173</v>
      </c>
      <c r="F20" s="5">
        <f t="shared" ref="F20" si="0">E20*D20</f>
        <v>1020700</v>
      </c>
      <c r="G20" s="6">
        <f>500+E20</f>
        <v>673</v>
      </c>
      <c r="H20" s="5">
        <f t="shared" ref="H20" si="1">G20*D20</f>
        <v>3970700</v>
      </c>
    </row>
    <row r="21" spans="1:8" ht="15">
      <c r="A21" s="7" t="s">
        <v>12</v>
      </c>
      <c r="B21" s="8" t="s">
        <v>36</v>
      </c>
      <c r="C21" s="7"/>
      <c r="D21" s="9"/>
      <c r="E21" s="10"/>
      <c r="F21" s="9">
        <f>SUM(F19:F20)</f>
        <v>1020700</v>
      </c>
      <c r="G21" s="9"/>
      <c r="H21" s="9">
        <f t="shared" ref="H21" si="2">SUM(H19:H20)</f>
        <v>10850700</v>
      </c>
    </row>
    <row r="22" spans="1:8">
      <c r="A22" s="23"/>
      <c r="B22" s="4" t="s">
        <v>8</v>
      </c>
      <c r="C22" s="23" t="s">
        <v>48</v>
      </c>
      <c r="D22" s="5">
        <v>45000</v>
      </c>
      <c r="E22" s="6"/>
      <c r="F22" s="5">
        <f t="shared" ref="F22:F27" si="3">E22*D22</f>
        <v>0</v>
      </c>
      <c r="G22" s="6">
        <f>80+E22</f>
        <v>80</v>
      </c>
      <c r="H22" s="5">
        <f t="shared" ref="H22:H27" si="4">D22*G22</f>
        <v>3600000</v>
      </c>
    </row>
    <row r="23" spans="1:8">
      <c r="A23" s="23"/>
      <c r="B23" s="4" t="s">
        <v>76</v>
      </c>
      <c r="C23" s="23" t="s">
        <v>48</v>
      </c>
      <c r="D23" s="5">
        <v>45000</v>
      </c>
      <c r="E23" s="6">
        <v>5</v>
      </c>
      <c r="F23" s="5">
        <f t="shared" si="3"/>
        <v>225000</v>
      </c>
      <c r="G23" s="6">
        <f>50+E23</f>
        <v>55</v>
      </c>
      <c r="H23" s="5">
        <f t="shared" si="4"/>
        <v>2475000</v>
      </c>
    </row>
    <row r="24" spans="1:8">
      <c r="A24" s="29"/>
      <c r="B24" s="4" t="s">
        <v>85</v>
      </c>
      <c r="C24" s="29" t="s">
        <v>47</v>
      </c>
      <c r="D24" s="5">
        <v>106000</v>
      </c>
      <c r="E24" s="6">
        <v>171.67</v>
      </c>
      <c r="F24" s="5">
        <f t="shared" si="3"/>
        <v>18197020</v>
      </c>
      <c r="G24" s="6">
        <f>490+E24</f>
        <v>661.67</v>
      </c>
      <c r="H24" s="5">
        <f t="shared" si="4"/>
        <v>70137020</v>
      </c>
    </row>
    <row r="25" spans="1:8">
      <c r="A25" s="29"/>
      <c r="B25" s="4" t="s">
        <v>86</v>
      </c>
      <c r="C25" s="29" t="s">
        <v>47</v>
      </c>
      <c r="D25" s="5">
        <v>120000</v>
      </c>
      <c r="E25" s="6">
        <v>12.86</v>
      </c>
      <c r="F25" s="5">
        <f t="shared" si="3"/>
        <v>1543200</v>
      </c>
      <c r="G25" s="6">
        <f>50+E25</f>
        <v>62.86</v>
      </c>
      <c r="H25" s="5">
        <f t="shared" si="4"/>
        <v>7543200</v>
      </c>
    </row>
    <row r="26" spans="1:8">
      <c r="A26" s="29"/>
      <c r="B26" s="4" t="s">
        <v>87</v>
      </c>
      <c r="C26" s="29" t="s">
        <v>48</v>
      </c>
      <c r="D26" s="5">
        <v>40000</v>
      </c>
      <c r="E26" s="6">
        <v>50</v>
      </c>
      <c r="F26" s="5">
        <f t="shared" si="3"/>
        <v>2000000</v>
      </c>
      <c r="G26" s="6">
        <f>100+E26</f>
        <v>150</v>
      </c>
      <c r="H26" s="5">
        <f t="shared" si="4"/>
        <v>6000000</v>
      </c>
    </row>
    <row r="27" spans="1:8">
      <c r="A27" s="23"/>
      <c r="B27" s="4" t="s">
        <v>77</v>
      </c>
      <c r="C27" s="23" t="s">
        <v>48</v>
      </c>
      <c r="D27" s="5">
        <v>20000</v>
      </c>
      <c r="E27" s="6"/>
      <c r="F27" s="5">
        <f t="shared" si="3"/>
        <v>0</v>
      </c>
      <c r="G27" s="6">
        <v>25</v>
      </c>
      <c r="H27" s="5">
        <f t="shared" si="4"/>
        <v>500000</v>
      </c>
    </row>
    <row r="28" spans="1:8" ht="15">
      <c r="A28" s="7" t="s">
        <v>13</v>
      </c>
      <c r="B28" s="8" t="s">
        <v>37</v>
      </c>
      <c r="C28" s="7"/>
      <c r="D28" s="9"/>
      <c r="E28" s="10"/>
      <c r="F28" s="9">
        <f>SUM(F22:F27)</f>
        <v>21965220</v>
      </c>
      <c r="G28" s="9"/>
      <c r="H28" s="9">
        <f t="shared" ref="H28" si="5">SUM(H22:H27)</f>
        <v>90255220</v>
      </c>
    </row>
    <row r="29" spans="1:8">
      <c r="A29" s="23"/>
      <c r="B29" s="4" t="s">
        <v>49</v>
      </c>
      <c r="C29" s="23" t="s">
        <v>50</v>
      </c>
      <c r="D29" s="5">
        <v>12500</v>
      </c>
      <c r="E29" s="6"/>
      <c r="F29" s="5">
        <f>E29*D29</f>
        <v>0</v>
      </c>
      <c r="G29" s="6">
        <v>14904</v>
      </c>
      <c r="H29" s="5">
        <f>G29*D29</f>
        <v>186300000</v>
      </c>
    </row>
    <row r="30" spans="1:8">
      <c r="A30" s="30"/>
      <c r="B30" s="4" t="s">
        <v>91</v>
      </c>
      <c r="C30" s="30" t="s">
        <v>50</v>
      </c>
      <c r="D30" s="5">
        <v>14500</v>
      </c>
      <c r="E30" s="6">
        <v>15</v>
      </c>
      <c r="F30" s="5">
        <f>E30*D30</f>
        <v>217500</v>
      </c>
      <c r="G30" s="6">
        <f>20+E30</f>
        <v>35</v>
      </c>
      <c r="H30" s="5">
        <f t="shared" ref="H30:H32" si="6">G30*D30</f>
        <v>507500</v>
      </c>
    </row>
    <row r="31" spans="1:8">
      <c r="A31" s="23"/>
      <c r="B31" s="4" t="s">
        <v>78</v>
      </c>
      <c r="C31" s="23" t="s">
        <v>50</v>
      </c>
      <c r="D31" s="5">
        <v>11500</v>
      </c>
      <c r="E31" s="6">
        <v>97</v>
      </c>
      <c r="F31" s="5">
        <f>E31*D31</f>
        <v>1115500</v>
      </c>
      <c r="G31" s="6">
        <f>278+E31</f>
        <v>375</v>
      </c>
      <c r="H31" s="5">
        <f t="shared" si="6"/>
        <v>4312500</v>
      </c>
    </row>
    <row r="32" spans="1:8">
      <c r="A32" s="23"/>
      <c r="B32" s="4" t="s">
        <v>79</v>
      </c>
      <c r="C32" s="23" t="s">
        <v>50</v>
      </c>
      <c r="D32" s="5">
        <v>10000</v>
      </c>
      <c r="E32" s="6">
        <v>25</v>
      </c>
      <c r="F32" s="5">
        <f t="shared" ref="F32" si="7">E32*D32</f>
        <v>250000</v>
      </c>
      <c r="G32" s="6">
        <f>50+E32</f>
        <v>75</v>
      </c>
      <c r="H32" s="5">
        <f t="shared" si="6"/>
        <v>750000</v>
      </c>
    </row>
    <row r="33" spans="1:8" ht="15">
      <c r="A33" s="7" t="s">
        <v>88</v>
      </c>
      <c r="B33" s="8" t="s">
        <v>38</v>
      </c>
      <c r="C33" s="7"/>
      <c r="D33" s="9"/>
      <c r="E33" s="10"/>
      <c r="F33" s="9">
        <f>SUM(F29:F32)</f>
        <v>1583000</v>
      </c>
      <c r="G33" s="9"/>
      <c r="H33" s="9">
        <f>SUM(H29:H32)</f>
        <v>191870000</v>
      </c>
    </row>
    <row r="34" spans="1:8">
      <c r="A34" s="23"/>
      <c r="B34" s="11" t="s">
        <v>15</v>
      </c>
      <c r="C34" s="23" t="s">
        <v>51</v>
      </c>
      <c r="D34" s="5">
        <v>2100</v>
      </c>
      <c r="E34" s="6">
        <v>8544</v>
      </c>
      <c r="F34" s="5">
        <f>E34*D34</f>
        <v>17942400</v>
      </c>
      <c r="G34" s="6">
        <f>16956+E34</f>
        <v>25500</v>
      </c>
      <c r="H34" s="5">
        <f>D34*G34</f>
        <v>53550000</v>
      </c>
    </row>
    <row r="35" spans="1:8">
      <c r="A35" s="23"/>
      <c r="B35" s="4" t="s">
        <v>16</v>
      </c>
      <c r="C35" s="23" t="s">
        <v>51</v>
      </c>
      <c r="D35" s="5">
        <v>2100</v>
      </c>
      <c r="E35" s="6">
        <v>2370</v>
      </c>
      <c r="F35" s="5">
        <f t="shared" ref="F35:F36" si="8">E35*D35</f>
        <v>4977000</v>
      </c>
      <c r="G35" s="6">
        <f>12150+E35</f>
        <v>14520</v>
      </c>
      <c r="H35" s="5">
        <f t="shared" ref="H35:H36" si="9">D35*G35</f>
        <v>30492000</v>
      </c>
    </row>
    <row r="36" spans="1:8">
      <c r="A36" s="23"/>
      <c r="B36" s="4" t="s">
        <v>17</v>
      </c>
      <c r="C36" s="23" t="s">
        <v>51</v>
      </c>
      <c r="D36" s="5">
        <v>2200</v>
      </c>
      <c r="E36" s="6">
        <v>5790</v>
      </c>
      <c r="F36" s="5">
        <f t="shared" si="8"/>
        <v>12738000</v>
      </c>
      <c r="G36" s="6">
        <f>10750+E36</f>
        <v>16540</v>
      </c>
      <c r="H36" s="5">
        <f t="shared" si="9"/>
        <v>36388000</v>
      </c>
    </row>
    <row r="37" spans="1:8" ht="15">
      <c r="A37" s="7" t="s">
        <v>14</v>
      </c>
      <c r="B37" s="8" t="s">
        <v>39</v>
      </c>
      <c r="C37" s="7"/>
      <c r="D37" s="9"/>
      <c r="E37" s="13"/>
      <c r="F37" s="9">
        <f>SUM(F34:F36)</f>
        <v>35657400</v>
      </c>
      <c r="G37" s="9"/>
      <c r="H37" s="9">
        <f>SUM(H34:H36)</f>
        <v>120430000</v>
      </c>
    </row>
    <row r="38" spans="1:8" ht="15">
      <c r="A38" s="7"/>
      <c r="B38" s="8" t="s">
        <v>92</v>
      </c>
      <c r="C38" s="7"/>
      <c r="D38" s="9"/>
      <c r="E38" s="13"/>
      <c r="F38" s="9">
        <f>F37+F33+F28</f>
        <v>59205620</v>
      </c>
      <c r="G38" s="9"/>
      <c r="H38" s="9">
        <f>H37+H33+H28</f>
        <v>402555220</v>
      </c>
    </row>
    <row r="39" spans="1:8">
      <c r="A39" s="23"/>
      <c r="B39" s="4" t="s">
        <v>9</v>
      </c>
      <c r="C39" s="23" t="s">
        <v>52</v>
      </c>
      <c r="D39" s="6">
        <v>90000</v>
      </c>
      <c r="E39" s="6"/>
      <c r="F39" s="5">
        <f>E39*D39</f>
        <v>0</v>
      </c>
      <c r="G39" s="6">
        <v>100</v>
      </c>
      <c r="H39" s="5">
        <f>D39*G39</f>
        <v>9000000</v>
      </c>
    </row>
    <row r="40" spans="1:8">
      <c r="A40" s="23"/>
      <c r="B40" s="4" t="s">
        <v>10</v>
      </c>
      <c r="C40" s="23" t="s">
        <v>46</v>
      </c>
      <c r="D40" s="5">
        <v>25000</v>
      </c>
      <c r="E40" s="6">
        <v>554</v>
      </c>
      <c r="F40" s="5">
        <f t="shared" ref="F40" si="10">E40*D40</f>
        <v>13850000</v>
      </c>
      <c r="G40" s="6">
        <f>1746+E40</f>
        <v>2300</v>
      </c>
      <c r="H40" s="5">
        <f t="shared" ref="H40" si="11">D40*G40</f>
        <v>57500000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SUM(F39:F40)</f>
        <v>13850000</v>
      </c>
      <c r="G41" s="9"/>
      <c r="H41" s="9">
        <f>SUM(H39:H40)</f>
        <v>66500000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SUM(F41+F37)+F33+F28+F21</f>
        <v>74076320</v>
      </c>
      <c r="G42" s="9"/>
      <c r="H42" s="9">
        <f t="shared" ref="H42" si="12">SUM(H41+H37)+H33+H28+H21</f>
        <v>479905920</v>
      </c>
    </row>
    <row r="43" spans="1:8">
      <c r="A43" s="23"/>
      <c r="B43" s="11" t="s">
        <v>53</v>
      </c>
      <c r="C43" s="23" t="s">
        <v>50</v>
      </c>
      <c r="D43" s="5">
        <v>5000</v>
      </c>
      <c r="E43" s="6">
        <v>7594</v>
      </c>
      <c r="F43" s="15">
        <f>E43*D43</f>
        <v>37970000</v>
      </c>
      <c r="G43" s="15">
        <f>6+E43</f>
        <v>7600</v>
      </c>
      <c r="H43" s="15">
        <f>G43*D43</f>
        <v>38000000</v>
      </c>
    </row>
    <row r="44" spans="1:8">
      <c r="A44" s="23"/>
      <c r="B44" s="4" t="s">
        <v>54</v>
      </c>
      <c r="C44" s="23" t="s">
        <v>50</v>
      </c>
      <c r="D44" s="5">
        <v>16000</v>
      </c>
      <c r="E44" s="6">
        <v>163</v>
      </c>
      <c r="F44" s="15">
        <f t="shared" ref="F44:F57" si="13">E44*D44</f>
        <v>2608000</v>
      </c>
      <c r="G44" s="15">
        <f>287+E44</f>
        <v>450</v>
      </c>
      <c r="H44" s="15">
        <f t="shared" ref="H44:H57" si="14">G44*D44</f>
        <v>7200000</v>
      </c>
    </row>
    <row r="45" spans="1:8">
      <c r="A45" s="23"/>
      <c r="B45" s="4" t="s">
        <v>80</v>
      </c>
      <c r="C45" s="23" t="s">
        <v>50</v>
      </c>
      <c r="D45" s="5">
        <v>7200</v>
      </c>
      <c r="E45" s="6">
        <v>169</v>
      </c>
      <c r="F45" s="27">
        <f t="shared" si="13"/>
        <v>1216800</v>
      </c>
      <c r="G45" s="15">
        <f>281+E45</f>
        <v>450</v>
      </c>
      <c r="H45" s="27">
        <f t="shared" si="14"/>
        <v>3240000</v>
      </c>
    </row>
    <row r="46" spans="1:8">
      <c r="A46" s="26"/>
      <c r="B46" s="25" t="s">
        <v>93</v>
      </c>
      <c r="C46" s="30" t="s">
        <v>50</v>
      </c>
      <c r="D46" s="27">
        <v>28800</v>
      </c>
      <c r="E46" s="28">
        <v>15</v>
      </c>
      <c r="F46" s="27">
        <f t="shared" si="13"/>
        <v>432000</v>
      </c>
      <c r="G46" s="27">
        <f>20+E46</f>
        <v>35</v>
      </c>
      <c r="H46" s="27">
        <f t="shared" si="14"/>
        <v>1008000</v>
      </c>
    </row>
    <row r="47" spans="1:8">
      <c r="A47" s="26"/>
      <c r="B47" s="25" t="s">
        <v>94</v>
      </c>
      <c r="C47" s="30" t="s">
        <v>50</v>
      </c>
      <c r="D47" s="27">
        <v>20000</v>
      </c>
      <c r="E47" s="28">
        <v>95</v>
      </c>
      <c r="F47" s="27">
        <f t="shared" si="13"/>
        <v>1900000</v>
      </c>
      <c r="G47" s="27">
        <f>355+E47</f>
        <v>450</v>
      </c>
      <c r="H47" s="27">
        <f t="shared" si="14"/>
        <v>9000000</v>
      </c>
    </row>
    <row r="48" spans="1:8">
      <c r="A48" s="26"/>
      <c r="B48" s="25" t="s">
        <v>95</v>
      </c>
      <c r="C48" s="30" t="s">
        <v>50</v>
      </c>
      <c r="D48" s="27">
        <v>8000</v>
      </c>
      <c r="E48" s="28">
        <v>95</v>
      </c>
      <c r="F48" s="27">
        <f t="shared" si="13"/>
        <v>760000</v>
      </c>
      <c r="G48" s="27">
        <f>355+E48</f>
        <v>450</v>
      </c>
      <c r="H48" s="27">
        <f t="shared" si="14"/>
        <v>3600000</v>
      </c>
    </row>
    <row r="49" spans="1:8">
      <c r="A49" s="26"/>
      <c r="B49" s="25" t="s">
        <v>96</v>
      </c>
      <c r="C49" s="30" t="s">
        <v>50</v>
      </c>
      <c r="D49" s="27">
        <v>20000</v>
      </c>
      <c r="E49" s="28"/>
      <c r="F49" s="27">
        <f t="shared" si="13"/>
        <v>0</v>
      </c>
      <c r="G49" s="27">
        <v>20</v>
      </c>
      <c r="H49" s="27">
        <f t="shared" si="14"/>
        <v>400000</v>
      </c>
    </row>
    <row r="50" spans="1:8">
      <c r="A50" s="26"/>
      <c r="B50" s="25" t="s">
        <v>100</v>
      </c>
      <c r="C50" s="36" t="s">
        <v>50</v>
      </c>
      <c r="D50" s="27">
        <v>5000</v>
      </c>
      <c r="E50" s="28">
        <v>460</v>
      </c>
      <c r="F50" s="27">
        <f t="shared" si="13"/>
        <v>2300000</v>
      </c>
      <c r="G50" s="27">
        <v>460</v>
      </c>
      <c r="H50" s="27">
        <f t="shared" si="14"/>
        <v>2300000</v>
      </c>
    </row>
    <row r="51" spans="1:8">
      <c r="A51" s="26"/>
      <c r="B51" s="25" t="s">
        <v>97</v>
      </c>
      <c r="C51" s="36" t="s">
        <v>50</v>
      </c>
      <c r="D51" s="27">
        <v>10400</v>
      </c>
      <c r="E51" s="28"/>
      <c r="F51" s="27">
        <f t="shared" si="13"/>
        <v>0</v>
      </c>
      <c r="G51" s="27">
        <v>20</v>
      </c>
      <c r="H51" s="27">
        <f t="shared" si="14"/>
        <v>208000</v>
      </c>
    </row>
    <row r="52" spans="1:8">
      <c r="A52" s="26"/>
      <c r="B52" s="41" t="s">
        <v>101</v>
      </c>
      <c r="C52" s="36" t="s">
        <v>105</v>
      </c>
      <c r="D52" s="38">
        <v>12800</v>
      </c>
      <c r="E52" s="28">
        <v>50</v>
      </c>
      <c r="F52" s="27">
        <f t="shared" si="13"/>
        <v>640000</v>
      </c>
      <c r="G52" s="27">
        <f>+E52</f>
        <v>50</v>
      </c>
      <c r="H52" s="27">
        <f t="shared" si="14"/>
        <v>640000</v>
      </c>
    </row>
    <row r="53" spans="1:8">
      <c r="A53" s="26"/>
      <c r="B53" s="41" t="s">
        <v>102</v>
      </c>
      <c r="C53" s="36" t="s">
        <v>105</v>
      </c>
      <c r="D53" s="38">
        <v>12800</v>
      </c>
      <c r="E53" s="28">
        <v>30</v>
      </c>
      <c r="F53" s="27">
        <f t="shared" si="13"/>
        <v>384000</v>
      </c>
      <c r="G53" s="27">
        <f t="shared" ref="G53:G57" si="15">+E53</f>
        <v>30</v>
      </c>
      <c r="H53" s="27">
        <f t="shared" si="14"/>
        <v>384000</v>
      </c>
    </row>
    <row r="54" spans="1:8">
      <c r="A54" s="26"/>
      <c r="B54" s="41" t="s">
        <v>103</v>
      </c>
      <c r="C54" s="42" t="s">
        <v>50</v>
      </c>
      <c r="D54" s="38">
        <v>36800</v>
      </c>
      <c r="E54" s="28">
        <v>50</v>
      </c>
      <c r="F54" s="27">
        <f t="shared" si="13"/>
        <v>1840000</v>
      </c>
      <c r="G54" s="27">
        <f t="shared" si="15"/>
        <v>50</v>
      </c>
      <c r="H54" s="27">
        <f t="shared" si="14"/>
        <v>1840000</v>
      </c>
    </row>
    <row r="55" spans="1:8">
      <c r="A55" s="26"/>
      <c r="B55" s="41" t="s">
        <v>104</v>
      </c>
      <c r="C55" s="42" t="s">
        <v>50</v>
      </c>
      <c r="D55" s="38">
        <v>28800</v>
      </c>
      <c r="E55" s="28">
        <v>30</v>
      </c>
      <c r="F55" s="27">
        <f t="shared" si="13"/>
        <v>864000</v>
      </c>
      <c r="G55" s="27">
        <f t="shared" si="15"/>
        <v>30</v>
      </c>
      <c r="H55" s="27">
        <f t="shared" si="14"/>
        <v>864000</v>
      </c>
    </row>
    <row r="56" spans="1:8">
      <c r="A56" s="26"/>
      <c r="B56" s="41" t="s">
        <v>96</v>
      </c>
      <c r="C56" s="42" t="s">
        <v>50</v>
      </c>
      <c r="D56" s="43">
        <v>20000</v>
      </c>
      <c r="E56" s="28">
        <v>15</v>
      </c>
      <c r="F56" s="27">
        <f t="shared" si="13"/>
        <v>300000</v>
      </c>
      <c r="G56" s="27">
        <f t="shared" si="15"/>
        <v>15</v>
      </c>
      <c r="H56" s="27">
        <f t="shared" si="14"/>
        <v>300000</v>
      </c>
    </row>
    <row r="57" spans="1:8">
      <c r="A57" s="26"/>
      <c r="B57" s="41" t="s">
        <v>97</v>
      </c>
      <c r="C57" s="42" t="s">
        <v>50</v>
      </c>
      <c r="D57" s="43">
        <v>10400</v>
      </c>
      <c r="E57" s="28">
        <v>15</v>
      </c>
      <c r="F57" s="27">
        <f t="shared" si="13"/>
        <v>156000</v>
      </c>
      <c r="G57" s="27">
        <f t="shared" si="15"/>
        <v>15</v>
      </c>
      <c r="H57" s="27">
        <f t="shared" si="14"/>
        <v>156000</v>
      </c>
    </row>
    <row r="58" spans="1:8" ht="15">
      <c r="A58" s="35" t="s">
        <v>19</v>
      </c>
      <c r="B58" s="31" t="s">
        <v>98</v>
      </c>
      <c r="C58" s="32"/>
      <c r="D58" s="33"/>
      <c r="E58" s="34"/>
      <c r="F58" s="33">
        <f>SUM(F43:F57)</f>
        <v>51370800</v>
      </c>
      <c r="G58" s="33"/>
      <c r="H58" s="33">
        <f t="shared" ref="H58" si="16">SUM(H43:H57)</f>
        <v>69140000</v>
      </c>
    </row>
    <row r="59" spans="1:8" ht="15">
      <c r="A59" s="35"/>
      <c r="B59" s="25" t="s">
        <v>81</v>
      </c>
      <c r="C59" s="26" t="s">
        <v>52</v>
      </c>
      <c r="D59" s="27">
        <v>80000</v>
      </c>
      <c r="E59" s="28"/>
      <c r="F59" s="27">
        <f>E59*D59</f>
        <v>0</v>
      </c>
      <c r="G59" s="27">
        <v>50</v>
      </c>
      <c r="H59" s="27">
        <f>G59*D59</f>
        <v>4000000</v>
      </c>
    </row>
    <row r="60" spans="1:8" ht="15">
      <c r="A60" s="35"/>
      <c r="B60" s="25" t="s">
        <v>99</v>
      </c>
      <c r="C60" s="26" t="s">
        <v>46</v>
      </c>
      <c r="D60" s="27">
        <v>180000</v>
      </c>
      <c r="E60" s="28">
        <v>10</v>
      </c>
      <c r="F60" s="27">
        <f>E60*D60</f>
        <v>1800000</v>
      </c>
      <c r="G60" s="27">
        <f>10+E60</f>
        <v>20</v>
      </c>
      <c r="H60" s="27">
        <f>G60*D60</f>
        <v>3600000</v>
      </c>
    </row>
    <row r="61" spans="1:8" ht="15">
      <c r="A61" s="35"/>
      <c r="B61" s="25" t="s">
        <v>82</v>
      </c>
      <c r="C61" s="26" t="s">
        <v>83</v>
      </c>
      <c r="D61" s="27">
        <v>63800</v>
      </c>
      <c r="E61" s="28"/>
      <c r="F61" s="27">
        <f t="shared" ref="F61" si="17">E61*D61</f>
        <v>0</v>
      </c>
      <c r="G61" s="27">
        <v>10</v>
      </c>
      <c r="H61" s="27">
        <f t="shared" ref="H61" si="18">G61*D61</f>
        <v>638000</v>
      </c>
    </row>
    <row r="62" spans="1:8">
      <c r="A62" s="36"/>
      <c r="B62" s="37" t="s">
        <v>56</v>
      </c>
      <c r="C62" s="36" t="s">
        <v>55</v>
      </c>
      <c r="D62" s="38">
        <v>3650</v>
      </c>
      <c r="E62" s="39">
        <v>135</v>
      </c>
      <c r="F62" s="38">
        <f>E62*D62</f>
        <v>492750</v>
      </c>
      <c r="G62" s="39">
        <f>540+E62</f>
        <v>675</v>
      </c>
      <c r="H62" s="38">
        <f>G62*D62</f>
        <v>2463750</v>
      </c>
    </row>
    <row r="63" spans="1:8">
      <c r="A63" s="36"/>
      <c r="B63" s="37" t="s">
        <v>57</v>
      </c>
      <c r="C63" s="36" t="s">
        <v>58</v>
      </c>
      <c r="D63" s="38"/>
      <c r="E63" s="39"/>
      <c r="F63" s="38"/>
      <c r="G63" s="39"/>
      <c r="H63" s="38">
        <v>500000</v>
      </c>
    </row>
    <row r="64" spans="1:8">
      <c r="A64" s="36"/>
      <c r="B64" s="37" t="s">
        <v>59</v>
      </c>
      <c r="C64" s="36" t="s">
        <v>46</v>
      </c>
      <c r="D64" s="38">
        <v>80000</v>
      </c>
      <c r="E64" s="39"/>
      <c r="F64" s="38">
        <f t="shared" ref="F64:F69" si="19">E64*D64</f>
        <v>0</v>
      </c>
      <c r="G64" s="39">
        <v>25</v>
      </c>
      <c r="H64" s="38">
        <f t="shared" ref="H64:H69" si="20">G64*D64</f>
        <v>2000000</v>
      </c>
    </row>
    <row r="65" spans="1:8">
      <c r="A65" s="36"/>
      <c r="B65" s="37" t="s">
        <v>60</v>
      </c>
      <c r="C65" s="36" t="s">
        <v>61</v>
      </c>
      <c r="D65" s="38">
        <v>2600</v>
      </c>
      <c r="E65" s="39">
        <v>30</v>
      </c>
      <c r="F65" s="38">
        <f t="shared" si="19"/>
        <v>78000</v>
      </c>
      <c r="G65" s="39">
        <f>330+E65</f>
        <v>360</v>
      </c>
      <c r="H65" s="38">
        <f t="shared" si="20"/>
        <v>936000</v>
      </c>
    </row>
    <row r="66" spans="1:8">
      <c r="A66" s="36"/>
      <c r="B66" s="40" t="s">
        <v>84</v>
      </c>
      <c r="C66" s="36" t="s">
        <v>62</v>
      </c>
      <c r="D66" s="38">
        <v>215592</v>
      </c>
      <c r="E66" s="39"/>
      <c r="F66" s="38">
        <f t="shared" si="19"/>
        <v>0</v>
      </c>
      <c r="G66" s="39">
        <v>3</v>
      </c>
      <c r="H66" s="38">
        <f t="shared" si="20"/>
        <v>646776</v>
      </c>
    </row>
    <row r="67" spans="1:8">
      <c r="A67" s="36"/>
      <c r="B67" s="40" t="s">
        <v>63</v>
      </c>
      <c r="C67" s="36" t="s">
        <v>62</v>
      </c>
      <c r="D67" s="38">
        <v>275200</v>
      </c>
      <c r="E67" s="39"/>
      <c r="F67" s="38">
        <f t="shared" si="19"/>
        <v>0</v>
      </c>
      <c r="G67" s="39">
        <v>1</v>
      </c>
      <c r="H67" s="38">
        <f t="shared" si="20"/>
        <v>275200</v>
      </c>
    </row>
    <row r="68" spans="1:8">
      <c r="A68" s="36"/>
      <c r="B68" s="40" t="s">
        <v>64</v>
      </c>
      <c r="C68" s="36" t="s">
        <v>62</v>
      </c>
      <c r="D68" s="38">
        <v>444312</v>
      </c>
      <c r="E68" s="39"/>
      <c r="F68" s="38">
        <f t="shared" si="19"/>
        <v>0</v>
      </c>
      <c r="G68" s="39">
        <v>1</v>
      </c>
      <c r="H68" s="38">
        <f t="shared" si="20"/>
        <v>444312</v>
      </c>
    </row>
    <row r="69" spans="1:8">
      <c r="A69" s="36"/>
      <c r="B69" s="40" t="s">
        <v>65</v>
      </c>
      <c r="C69" s="36" t="s">
        <v>62</v>
      </c>
      <c r="D69" s="38">
        <v>275200</v>
      </c>
      <c r="E69" s="39"/>
      <c r="F69" s="39">
        <f t="shared" si="19"/>
        <v>0</v>
      </c>
      <c r="G69" s="39">
        <v>1</v>
      </c>
      <c r="H69" s="39">
        <f t="shared" si="20"/>
        <v>275200</v>
      </c>
    </row>
    <row r="70" spans="1:8" ht="15">
      <c r="A70" s="7" t="s">
        <v>90</v>
      </c>
      <c r="B70" s="8" t="s">
        <v>40</v>
      </c>
      <c r="C70" s="7"/>
      <c r="D70" s="9"/>
      <c r="E70" s="10"/>
      <c r="F70" s="9">
        <f>SUM(F59:F69)</f>
        <v>2370750</v>
      </c>
      <c r="G70" s="9"/>
      <c r="H70" s="9">
        <f>SUM(H59:H69)</f>
        <v>15779238</v>
      </c>
    </row>
    <row r="71" spans="1:8" ht="15">
      <c r="A71" s="7" t="s">
        <v>20</v>
      </c>
      <c r="B71" s="8" t="s">
        <v>25</v>
      </c>
      <c r="C71" s="7"/>
      <c r="D71" s="9"/>
      <c r="E71" s="10"/>
      <c r="F71" s="9">
        <f>F70+F58</f>
        <v>53741550</v>
      </c>
      <c r="G71" s="9"/>
      <c r="H71" s="9">
        <f t="shared" ref="H71" si="21">H70+H58</f>
        <v>84919238</v>
      </c>
    </row>
    <row r="72" spans="1:8" ht="15">
      <c r="A72" s="7" t="s">
        <v>22</v>
      </c>
      <c r="B72" s="8" t="s">
        <v>26</v>
      </c>
      <c r="C72" s="7"/>
      <c r="D72" s="9"/>
      <c r="E72" s="10"/>
      <c r="F72" s="9">
        <f>F71+F42</f>
        <v>127817870</v>
      </c>
      <c r="G72" s="9"/>
      <c r="H72" s="9">
        <f>H71+H42</f>
        <v>564825158</v>
      </c>
    </row>
    <row r="73" spans="1:8" ht="15">
      <c r="A73" s="7" t="s">
        <v>23</v>
      </c>
      <c r="B73" s="8" t="s">
        <v>11</v>
      </c>
      <c r="C73" s="7"/>
      <c r="D73" s="9"/>
      <c r="E73" s="10"/>
      <c r="F73" s="9">
        <f>F72*0.1</f>
        <v>12781787</v>
      </c>
      <c r="G73" s="9"/>
      <c r="H73" s="9">
        <f t="shared" ref="H73" si="22">H72*0.1</f>
        <v>56482515.800000004</v>
      </c>
    </row>
    <row r="74" spans="1:8" ht="15">
      <c r="A74" s="7" t="s">
        <v>24</v>
      </c>
      <c r="B74" s="8" t="s">
        <v>27</v>
      </c>
      <c r="C74" s="7"/>
      <c r="D74" s="9"/>
      <c r="E74" s="10"/>
      <c r="F74" s="9">
        <f>F72+F73</f>
        <v>140599657</v>
      </c>
      <c r="G74" s="9"/>
      <c r="H74" s="9">
        <f t="shared" ref="H74" si="23">H72+H73</f>
        <v>621307673.79999995</v>
      </c>
    </row>
    <row r="75" spans="1:8" ht="15">
      <c r="A75" s="16"/>
      <c r="B75" s="17"/>
      <c r="C75" s="16"/>
      <c r="D75" s="18"/>
      <c r="E75" s="19"/>
      <c r="F75" s="18"/>
      <c r="G75" s="18"/>
      <c r="H75" s="18"/>
    </row>
    <row r="76" spans="1:8" ht="15">
      <c r="B76" s="2" t="s">
        <v>5</v>
      </c>
    </row>
    <row r="77" spans="1:8">
      <c r="B77" s="1" t="s">
        <v>66</v>
      </c>
      <c r="F77" s="126" t="s">
        <v>72</v>
      </c>
      <c r="G77" s="126"/>
    </row>
    <row r="78" spans="1:8">
      <c r="F78" s="21"/>
      <c r="G78" s="21"/>
    </row>
    <row r="79" spans="1:8">
      <c r="B79" s="1" t="s">
        <v>67</v>
      </c>
      <c r="F79" s="126" t="s">
        <v>73</v>
      </c>
      <c r="G79" s="126"/>
    </row>
    <row r="80" spans="1:8">
      <c r="F80" s="21"/>
      <c r="G80" s="21"/>
    </row>
    <row r="81" spans="2:7">
      <c r="B81" s="3" t="s">
        <v>71</v>
      </c>
      <c r="F81" s="126" t="s">
        <v>74</v>
      </c>
      <c r="G81" s="126"/>
    </row>
    <row r="84" spans="2:7" ht="15">
      <c r="B84" s="2" t="s">
        <v>1</v>
      </c>
    </row>
    <row r="85" spans="2:7">
      <c r="B85" s="1" t="s">
        <v>35</v>
      </c>
      <c r="F85" s="1" t="s">
        <v>45</v>
      </c>
    </row>
    <row r="87" spans="2:7" ht="15">
      <c r="B87" s="2" t="s">
        <v>2</v>
      </c>
    </row>
    <row r="88" spans="2:7">
      <c r="B88" s="1" t="s">
        <v>34</v>
      </c>
      <c r="F88" s="126" t="s">
        <v>75</v>
      </c>
      <c r="G88" s="126"/>
    </row>
    <row r="89" spans="2:7">
      <c r="F89" s="21"/>
      <c r="G89" s="21"/>
    </row>
    <row r="90" spans="2:7">
      <c r="B90" s="1" t="s">
        <v>34</v>
      </c>
      <c r="F90" s="1" t="s">
        <v>44</v>
      </c>
    </row>
  </sheetData>
  <mergeCells count="17">
    <mergeCell ref="A12:H12"/>
    <mergeCell ref="A2:H2"/>
    <mergeCell ref="A3:H3"/>
    <mergeCell ref="A4:H4"/>
    <mergeCell ref="B8:H8"/>
    <mergeCell ref="B10:H10"/>
    <mergeCell ref="F77:G77"/>
    <mergeCell ref="F79:G79"/>
    <mergeCell ref="F81:G81"/>
    <mergeCell ref="F88:G88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39370078740157483" top="0.59055118110236227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5.75" style="1" customWidth="1"/>
    <col min="3" max="3" width="9.75" style="1" customWidth="1"/>
    <col min="4" max="4" width="11.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2" spans="1:8">
      <c r="A2" s="127" t="s">
        <v>41</v>
      </c>
      <c r="B2" s="127"/>
      <c r="C2" s="127"/>
      <c r="D2" s="127"/>
      <c r="E2" s="127"/>
      <c r="F2" s="127"/>
      <c r="G2" s="127"/>
      <c r="H2" s="127"/>
    </row>
    <row r="3" spans="1:8">
      <c r="A3" s="127" t="s">
        <v>42</v>
      </c>
      <c r="B3" s="127"/>
      <c r="C3" s="127"/>
      <c r="D3" s="127"/>
      <c r="E3" s="127"/>
      <c r="F3" s="127"/>
      <c r="G3" s="127"/>
      <c r="H3" s="127"/>
    </row>
    <row r="4" spans="1:8">
      <c r="A4" s="127" t="s">
        <v>43</v>
      </c>
      <c r="B4" s="127"/>
      <c r="C4" s="127"/>
      <c r="D4" s="127"/>
      <c r="E4" s="127"/>
      <c r="F4" s="127"/>
      <c r="G4" s="127"/>
      <c r="H4" s="127"/>
    </row>
    <row r="7" spans="1:8" ht="15">
      <c r="B7" s="132" t="s">
        <v>69</v>
      </c>
      <c r="C7" s="132"/>
      <c r="D7" s="132"/>
      <c r="E7" s="132"/>
      <c r="F7" s="132"/>
      <c r="G7" s="132"/>
      <c r="H7" s="132"/>
    </row>
    <row r="8" spans="1:8" ht="15">
      <c r="B8" s="2"/>
      <c r="C8" s="2"/>
      <c r="D8" s="2"/>
      <c r="E8" s="2"/>
      <c r="F8" s="2"/>
    </row>
    <row r="9" spans="1:8" ht="15">
      <c r="B9" s="132" t="s">
        <v>33</v>
      </c>
      <c r="C9" s="132"/>
      <c r="D9" s="132"/>
      <c r="E9" s="132"/>
      <c r="F9" s="132"/>
      <c r="G9" s="132"/>
      <c r="H9" s="132"/>
    </row>
    <row r="10" spans="1:8" ht="15">
      <c r="B10" s="46"/>
      <c r="C10" s="46"/>
      <c r="D10" s="46"/>
      <c r="E10" s="46" t="s">
        <v>70</v>
      </c>
      <c r="F10" s="46"/>
    </row>
    <row r="11" spans="1:8">
      <c r="A11" s="127" t="s">
        <v>108</v>
      </c>
      <c r="B11" s="127"/>
      <c r="C11" s="127"/>
      <c r="D11" s="127"/>
      <c r="E11" s="127"/>
      <c r="F11" s="127"/>
      <c r="G11" s="127"/>
      <c r="H11" s="127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127" t="s">
        <v>68</v>
      </c>
      <c r="B13" s="127"/>
      <c r="C13" s="127"/>
      <c r="D13" s="127"/>
      <c r="E13" s="127"/>
      <c r="F13" s="127"/>
      <c r="G13" s="127"/>
      <c r="H13" s="127"/>
    </row>
    <row r="15" spans="1:8">
      <c r="A15" s="128" t="s">
        <v>32</v>
      </c>
      <c r="B15" s="128" t="s">
        <v>6</v>
      </c>
      <c r="C15" s="129" t="s">
        <v>28</v>
      </c>
      <c r="D15" s="129" t="s">
        <v>29</v>
      </c>
      <c r="E15" s="131" t="s">
        <v>30</v>
      </c>
      <c r="F15" s="131"/>
      <c r="G15" s="131" t="s">
        <v>31</v>
      </c>
      <c r="H15" s="131"/>
    </row>
    <row r="16" spans="1:8">
      <c r="A16" s="128"/>
      <c r="B16" s="128"/>
      <c r="C16" s="130"/>
      <c r="D16" s="130"/>
      <c r="E16" s="47" t="s">
        <v>7</v>
      </c>
      <c r="F16" s="47" t="s">
        <v>0</v>
      </c>
      <c r="G16" s="47" t="s">
        <v>7</v>
      </c>
      <c r="H16" s="47" t="s">
        <v>0</v>
      </c>
    </row>
    <row r="17" spans="1:8">
      <c r="A17" s="47">
        <v>0</v>
      </c>
      <c r="B17" s="47">
        <v>1</v>
      </c>
      <c r="C17" s="48">
        <v>2</v>
      </c>
      <c r="D17" s="48">
        <v>3</v>
      </c>
      <c r="E17" s="47">
        <v>4</v>
      </c>
      <c r="F17" s="47">
        <v>5</v>
      </c>
      <c r="G17" s="47">
        <v>6</v>
      </c>
      <c r="H17" s="47">
        <v>7</v>
      </c>
    </row>
    <row r="18" spans="1:8">
      <c r="A18" s="47"/>
      <c r="B18" s="4" t="s">
        <v>4</v>
      </c>
      <c r="C18" s="47" t="s">
        <v>46</v>
      </c>
      <c r="D18" s="5">
        <v>160000</v>
      </c>
      <c r="E18" s="6"/>
      <c r="F18" s="5">
        <f>E18*D18</f>
        <v>0</v>
      </c>
      <c r="G18" s="6">
        <v>43</v>
      </c>
      <c r="H18" s="5">
        <f>G18*D18</f>
        <v>6880000</v>
      </c>
    </row>
    <row r="19" spans="1:8">
      <c r="A19" s="47"/>
      <c r="B19" s="4" t="s">
        <v>3</v>
      </c>
      <c r="C19" s="47" t="s">
        <v>47</v>
      </c>
      <c r="D19" s="5">
        <v>5900</v>
      </c>
      <c r="E19" s="6"/>
      <c r="F19" s="5">
        <f t="shared" ref="F19" si="0">E19*D19</f>
        <v>0</v>
      </c>
      <c r="G19" s="6">
        <v>673</v>
      </c>
      <c r="H19" s="5">
        <f t="shared" ref="H19" si="1">G19*D19</f>
        <v>3970700</v>
      </c>
    </row>
    <row r="20" spans="1:8" ht="15">
      <c r="A20" s="7" t="s">
        <v>12</v>
      </c>
      <c r="B20" s="8" t="s">
        <v>36</v>
      </c>
      <c r="C20" s="7"/>
      <c r="D20" s="9"/>
      <c r="E20" s="10"/>
      <c r="F20" s="9">
        <f>SUM(F18:F19)</f>
        <v>0</v>
      </c>
      <c r="G20" s="9"/>
      <c r="H20" s="9">
        <f t="shared" ref="H20" si="2">SUM(H18:H19)</f>
        <v>10850700</v>
      </c>
    </row>
    <row r="21" spans="1:8">
      <c r="A21" s="47"/>
      <c r="B21" s="4" t="s">
        <v>8</v>
      </c>
      <c r="C21" s="47" t="s">
        <v>48</v>
      </c>
      <c r="D21" s="5">
        <v>45000</v>
      </c>
      <c r="E21" s="6"/>
      <c r="F21" s="5">
        <f t="shared" ref="F21:F26" si="3">E21*D21</f>
        <v>0</v>
      </c>
      <c r="G21" s="6">
        <f>80+E21</f>
        <v>80</v>
      </c>
      <c r="H21" s="5">
        <f t="shared" ref="H21:H26" si="4">D21*G21</f>
        <v>3600000</v>
      </c>
    </row>
    <row r="22" spans="1:8">
      <c r="A22" s="47"/>
      <c r="B22" s="4" t="s">
        <v>76</v>
      </c>
      <c r="C22" s="47" t="s">
        <v>48</v>
      </c>
      <c r="D22" s="5">
        <v>45000</v>
      </c>
      <c r="E22" s="6"/>
      <c r="F22" s="5">
        <f t="shared" si="3"/>
        <v>0</v>
      </c>
      <c r="G22" s="6">
        <v>55</v>
      </c>
      <c r="H22" s="5">
        <f t="shared" si="4"/>
        <v>2475000</v>
      </c>
    </row>
    <row r="23" spans="1:8">
      <c r="A23" s="47"/>
      <c r="B23" s="4" t="s">
        <v>85</v>
      </c>
      <c r="C23" s="47" t="s">
        <v>47</v>
      </c>
      <c r="D23" s="5">
        <v>106000</v>
      </c>
      <c r="E23" s="6"/>
      <c r="F23" s="5">
        <f t="shared" si="3"/>
        <v>0</v>
      </c>
      <c r="G23" s="6">
        <v>661.67</v>
      </c>
      <c r="H23" s="5">
        <f t="shared" si="4"/>
        <v>70137020</v>
      </c>
    </row>
    <row r="24" spans="1:8">
      <c r="A24" s="47"/>
      <c r="B24" s="4" t="s">
        <v>86</v>
      </c>
      <c r="C24" s="47" t="s">
        <v>47</v>
      </c>
      <c r="D24" s="5">
        <v>120000</v>
      </c>
      <c r="E24" s="6"/>
      <c r="F24" s="5">
        <f t="shared" si="3"/>
        <v>0</v>
      </c>
      <c r="G24" s="6">
        <v>62.86</v>
      </c>
      <c r="H24" s="5">
        <f t="shared" si="4"/>
        <v>7543200</v>
      </c>
    </row>
    <row r="25" spans="1:8">
      <c r="A25" s="47"/>
      <c r="B25" s="4" t="s">
        <v>87</v>
      </c>
      <c r="C25" s="47" t="s">
        <v>48</v>
      </c>
      <c r="D25" s="5">
        <v>40000</v>
      </c>
      <c r="E25" s="6"/>
      <c r="F25" s="5">
        <f t="shared" si="3"/>
        <v>0</v>
      </c>
      <c r="G25" s="6">
        <v>150</v>
      </c>
      <c r="H25" s="5">
        <f t="shared" si="4"/>
        <v>6000000</v>
      </c>
    </row>
    <row r="26" spans="1:8">
      <c r="A26" s="47"/>
      <c r="B26" s="4" t="s">
        <v>77</v>
      </c>
      <c r="C26" s="47" t="s">
        <v>48</v>
      </c>
      <c r="D26" s="5">
        <v>20000</v>
      </c>
      <c r="E26" s="6"/>
      <c r="F26" s="5">
        <f t="shared" si="3"/>
        <v>0</v>
      </c>
      <c r="G26" s="6">
        <v>25</v>
      </c>
      <c r="H26" s="5">
        <f t="shared" si="4"/>
        <v>500000</v>
      </c>
    </row>
    <row r="27" spans="1:8" ht="15">
      <c r="A27" s="7" t="s">
        <v>13</v>
      </c>
      <c r="B27" s="8" t="s">
        <v>37</v>
      </c>
      <c r="C27" s="7"/>
      <c r="D27" s="9"/>
      <c r="E27" s="10"/>
      <c r="F27" s="9">
        <f>SUM(F21:F26)</f>
        <v>0</v>
      </c>
      <c r="G27" s="9"/>
      <c r="H27" s="9">
        <f>SUM(H21:H26)</f>
        <v>90255220</v>
      </c>
    </row>
    <row r="28" spans="1:8">
      <c r="A28" s="47"/>
      <c r="B28" s="4" t="s">
        <v>49</v>
      </c>
      <c r="C28" s="47" t="s">
        <v>50</v>
      </c>
      <c r="D28" s="5">
        <v>12500</v>
      </c>
      <c r="E28" s="6">
        <v>291</v>
      </c>
      <c r="F28" s="5">
        <f>E28*D28</f>
        <v>3637500</v>
      </c>
      <c r="G28" s="6">
        <v>15195</v>
      </c>
      <c r="H28" s="5">
        <f>G28*D28</f>
        <v>189937500</v>
      </c>
    </row>
    <row r="29" spans="1:8">
      <c r="A29" s="47"/>
      <c r="B29" s="4" t="s">
        <v>91</v>
      </c>
      <c r="C29" s="47" t="s">
        <v>50</v>
      </c>
      <c r="D29" s="5">
        <v>14500</v>
      </c>
      <c r="E29" s="6"/>
      <c r="F29" s="5">
        <f>E29*D29</f>
        <v>0</v>
      </c>
      <c r="G29" s="6">
        <v>35</v>
      </c>
      <c r="H29" s="5">
        <f t="shared" ref="H29:H31" si="5">G29*D29</f>
        <v>507500</v>
      </c>
    </row>
    <row r="30" spans="1:8">
      <c r="A30" s="47"/>
      <c r="B30" s="4" t="s">
        <v>78</v>
      </c>
      <c r="C30" s="47" t="s">
        <v>50</v>
      </c>
      <c r="D30" s="5">
        <v>11500</v>
      </c>
      <c r="E30" s="6">
        <v>7</v>
      </c>
      <c r="F30" s="5">
        <f>E30*D30</f>
        <v>80500</v>
      </c>
      <c r="G30" s="6">
        <v>382</v>
      </c>
      <c r="H30" s="5">
        <f t="shared" si="5"/>
        <v>4393000</v>
      </c>
    </row>
    <row r="31" spans="1:8">
      <c r="A31" s="47"/>
      <c r="B31" s="4" t="s">
        <v>79</v>
      </c>
      <c r="C31" s="47" t="s">
        <v>50</v>
      </c>
      <c r="D31" s="5">
        <v>10000</v>
      </c>
      <c r="E31" s="6"/>
      <c r="F31" s="5">
        <f t="shared" ref="F31" si="6">E31*D31</f>
        <v>0</v>
      </c>
      <c r="G31" s="6">
        <v>75</v>
      </c>
      <c r="H31" s="5">
        <f t="shared" si="5"/>
        <v>750000</v>
      </c>
    </row>
    <row r="32" spans="1:8" ht="15">
      <c r="A32" s="7" t="s">
        <v>88</v>
      </c>
      <c r="B32" s="8" t="s">
        <v>38</v>
      </c>
      <c r="C32" s="7"/>
      <c r="D32" s="9"/>
      <c r="E32" s="10"/>
      <c r="F32" s="9">
        <f>SUM(F28:F31)</f>
        <v>3718000</v>
      </c>
      <c r="G32" s="9"/>
      <c r="H32" s="9">
        <f>SUM(H28:H31)</f>
        <v>195588000</v>
      </c>
    </row>
    <row r="33" spans="1:8">
      <c r="A33" s="47"/>
      <c r="B33" s="11" t="s">
        <v>15</v>
      </c>
      <c r="C33" s="47" t="s">
        <v>51</v>
      </c>
      <c r="D33" s="5">
        <v>2100</v>
      </c>
      <c r="E33" s="6"/>
      <c r="F33" s="5">
        <f>E33*D33</f>
        <v>0</v>
      </c>
      <c r="G33" s="6">
        <v>25500</v>
      </c>
      <c r="H33" s="5">
        <f>D33*G33</f>
        <v>53550000</v>
      </c>
    </row>
    <row r="34" spans="1:8">
      <c r="A34" s="47"/>
      <c r="B34" s="4" t="s">
        <v>16</v>
      </c>
      <c r="C34" s="47" t="s">
        <v>51</v>
      </c>
      <c r="D34" s="5">
        <v>2100</v>
      </c>
      <c r="E34" s="6"/>
      <c r="F34" s="5">
        <f t="shared" ref="F34:F35" si="7">E34*D34</f>
        <v>0</v>
      </c>
      <c r="G34" s="6">
        <v>14520</v>
      </c>
      <c r="H34" s="5">
        <f t="shared" ref="H34:H35" si="8">D34*G34</f>
        <v>30492000</v>
      </c>
    </row>
    <row r="35" spans="1:8">
      <c r="A35" s="47"/>
      <c r="B35" s="4" t="s">
        <v>17</v>
      </c>
      <c r="C35" s="47" t="s">
        <v>51</v>
      </c>
      <c r="D35" s="5">
        <v>2200</v>
      </c>
      <c r="E35" s="6"/>
      <c r="F35" s="5">
        <f t="shared" si="7"/>
        <v>0</v>
      </c>
      <c r="G35" s="6">
        <v>16540</v>
      </c>
      <c r="H35" s="5">
        <f t="shared" si="8"/>
        <v>36388000</v>
      </c>
    </row>
    <row r="36" spans="1:8" ht="15">
      <c r="A36" s="7" t="s">
        <v>14</v>
      </c>
      <c r="B36" s="8" t="s">
        <v>39</v>
      </c>
      <c r="C36" s="7"/>
      <c r="D36" s="9"/>
      <c r="E36" s="13"/>
      <c r="F36" s="9">
        <f>SUM(F33:F35)</f>
        <v>0</v>
      </c>
      <c r="G36" s="9"/>
      <c r="H36" s="9">
        <f>SUM(H33:H35)</f>
        <v>120430000</v>
      </c>
    </row>
    <row r="37" spans="1:8" ht="15">
      <c r="A37" s="7"/>
      <c r="B37" s="8" t="s">
        <v>92</v>
      </c>
      <c r="C37" s="7"/>
      <c r="D37" s="9"/>
      <c r="E37" s="13"/>
      <c r="F37" s="9">
        <f>F36+F32+F27</f>
        <v>3718000</v>
      </c>
      <c r="G37" s="9"/>
      <c r="H37" s="9">
        <f>H36+H32+H27</f>
        <v>406273220</v>
      </c>
    </row>
    <row r="38" spans="1:8">
      <c r="A38" s="47"/>
      <c r="B38" s="4" t="s">
        <v>9</v>
      </c>
      <c r="C38" s="47" t="s">
        <v>52</v>
      </c>
      <c r="D38" s="6">
        <v>90000</v>
      </c>
      <c r="E38" s="6"/>
      <c r="F38" s="5">
        <f>E38*D38</f>
        <v>0</v>
      </c>
      <c r="G38" s="6">
        <v>100</v>
      </c>
      <c r="H38" s="5">
        <f>D38*G38</f>
        <v>9000000</v>
      </c>
    </row>
    <row r="39" spans="1:8">
      <c r="A39" s="47"/>
      <c r="B39" s="4" t="s">
        <v>10</v>
      </c>
      <c r="C39" s="47" t="s">
        <v>46</v>
      </c>
      <c r="D39" s="5">
        <v>25000</v>
      </c>
      <c r="E39" s="6"/>
      <c r="F39" s="5">
        <f t="shared" ref="F39:F40" si="9">E39*D39</f>
        <v>0</v>
      </c>
      <c r="G39" s="6">
        <v>2300</v>
      </c>
      <c r="H39" s="5">
        <f t="shared" ref="H39:H40" si="10">D39*G39</f>
        <v>57500000</v>
      </c>
    </row>
    <row r="40" spans="1:8">
      <c r="A40" s="47"/>
      <c r="B40" s="4" t="s">
        <v>107</v>
      </c>
      <c r="C40" s="47" t="s">
        <v>46</v>
      </c>
      <c r="D40" s="5">
        <v>160000</v>
      </c>
      <c r="E40" s="6">
        <v>688</v>
      </c>
      <c r="F40" s="5">
        <f t="shared" si="9"/>
        <v>110080000</v>
      </c>
      <c r="G40" s="6">
        <f>+E40</f>
        <v>688</v>
      </c>
      <c r="H40" s="5">
        <f t="shared" si="10"/>
        <v>110080000</v>
      </c>
    </row>
    <row r="41" spans="1:8" ht="15">
      <c r="A41" s="7" t="s">
        <v>89</v>
      </c>
      <c r="B41" s="8" t="s">
        <v>0</v>
      </c>
      <c r="C41" s="12"/>
      <c r="D41" s="9"/>
      <c r="E41" s="10"/>
      <c r="F41" s="9">
        <f>SUM(F38:F40)</f>
        <v>110080000</v>
      </c>
      <c r="G41" s="9"/>
      <c r="H41" s="9">
        <f>SUM(H38:H40)</f>
        <v>176580000</v>
      </c>
    </row>
    <row r="42" spans="1:8" ht="15">
      <c r="A42" s="7" t="s">
        <v>18</v>
      </c>
      <c r="B42" s="8" t="s">
        <v>21</v>
      </c>
      <c r="C42" s="7"/>
      <c r="D42" s="9"/>
      <c r="E42" s="10"/>
      <c r="F42" s="9">
        <f>SUM(F41+F36)+F32+F27+F20</f>
        <v>113798000</v>
      </c>
      <c r="G42" s="9"/>
      <c r="H42" s="9">
        <f>SUM(H41+H36)+H32+H27+H20</f>
        <v>593703920</v>
      </c>
    </row>
    <row r="43" spans="1:8">
      <c r="A43" s="47"/>
      <c r="B43" s="11" t="s">
        <v>53</v>
      </c>
      <c r="C43" s="47" t="s">
        <v>50</v>
      </c>
      <c r="D43" s="5">
        <v>5000</v>
      </c>
      <c r="E43" s="6">
        <v>7595</v>
      </c>
      <c r="F43" s="15">
        <f>E43*D43</f>
        <v>37975000</v>
      </c>
      <c r="G43" s="15">
        <v>15195</v>
      </c>
      <c r="H43" s="15">
        <f>G43*D43</f>
        <v>75975000</v>
      </c>
    </row>
    <row r="44" spans="1:8">
      <c r="A44" s="47"/>
      <c r="B44" s="4" t="s">
        <v>54</v>
      </c>
      <c r="C44" s="47" t="s">
        <v>50</v>
      </c>
      <c r="D44" s="5">
        <v>16000</v>
      </c>
      <c r="E44" s="6">
        <v>15202</v>
      </c>
      <c r="F44" s="15">
        <f t="shared" ref="F44:F55" si="11">E44*D44</f>
        <v>243232000</v>
      </c>
      <c r="G44" s="15">
        <v>15652</v>
      </c>
      <c r="H44" s="15">
        <f t="shared" ref="H44:H55" si="12">G44*D44</f>
        <v>250432000</v>
      </c>
    </row>
    <row r="45" spans="1:8">
      <c r="A45" s="47"/>
      <c r="B45" s="4" t="s">
        <v>80</v>
      </c>
      <c r="C45" s="47" t="s">
        <v>50</v>
      </c>
      <c r="D45" s="5">
        <v>7200</v>
      </c>
      <c r="E45" s="6"/>
      <c r="F45" s="27">
        <f t="shared" si="11"/>
        <v>0</v>
      </c>
      <c r="G45" s="15">
        <v>450</v>
      </c>
      <c r="H45" s="27">
        <f t="shared" si="12"/>
        <v>3240000</v>
      </c>
    </row>
    <row r="46" spans="1:8">
      <c r="A46" s="26"/>
      <c r="B46" s="25" t="s">
        <v>93</v>
      </c>
      <c r="C46" s="47" t="s">
        <v>50</v>
      </c>
      <c r="D46" s="27">
        <v>28800</v>
      </c>
      <c r="E46" s="28"/>
      <c r="F46" s="27">
        <f t="shared" si="11"/>
        <v>0</v>
      </c>
      <c r="G46" s="27">
        <v>35</v>
      </c>
      <c r="H46" s="27">
        <f t="shared" si="12"/>
        <v>1008000</v>
      </c>
    </row>
    <row r="47" spans="1:8">
      <c r="A47" s="26"/>
      <c r="B47" s="25" t="s">
        <v>94</v>
      </c>
      <c r="C47" s="47" t="s">
        <v>50</v>
      </c>
      <c r="D47" s="27">
        <v>20000</v>
      </c>
      <c r="E47" s="28">
        <v>7</v>
      </c>
      <c r="F47" s="27">
        <f t="shared" si="11"/>
        <v>140000</v>
      </c>
      <c r="G47" s="27">
        <v>457</v>
      </c>
      <c r="H47" s="27">
        <f t="shared" si="12"/>
        <v>9140000</v>
      </c>
    </row>
    <row r="48" spans="1:8">
      <c r="A48" s="26"/>
      <c r="B48" s="25" t="s">
        <v>95</v>
      </c>
      <c r="C48" s="47" t="s">
        <v>50</v>
      </c>
      <c r="D48" s="27">
        <v>8000</v>
      </c>
      <c r="E48" s="28">
        <v>7</v>
      </c>
      <c r="F48" s="27">
        <f t="shared" si="11"/>
        <v>56000</v>
      </c>
      <c r="G48" s="27">
        <v>457</v>
      </c>
      <c r="H48" s="27">
        <f t="shared" si="12"/>
        <v>3656000</v>
      </c>
    </row>
    <row r="49" spans="1:8">
      <c r="A49" s="26"/>
      <c r="B49" s="25" t="s">
        <v>100</v>
      </c>
      <c r="C49" s="36" t="s">
        <v>50</v>
      </c>
      <c r="D49" s="27">
        <v>5000</v>
      </c>
      <c r="E49" s="28"/>
      <c r="F49" s="27">
        <f t="shared" si="11"/>
        <v>0</v>
      </c>
      <c r="G49" s="27">
        <v>460</v>
      </c>
      <c r="H49" s="27">
        <f t="shared" si="12"/>
        <v>2300000</v>
      </c>
    </row>
    <row r="50" spans="1:8">
      <c r="A50" s="26"/>
      <c r="B50" s="41" t="s">
        <v>101</v>
      </c>
      <c r="C50" s="36" t="s">
        <v>105</v>
      </c>
      <c r="D50" s="38">
        <v>12800</v>
      </c>
      <c r="E50" s="28"/>
      <c r="F50" s="27">
        <f t="shared" si="11"/>
        <v>0</v>
      </c>
      <c r="G50" s="27">
        <v>50</v>
      </c>
      <c r="H50" s="27">
        <f t="shared" si="12"/>
        <v>640000</v>
      </c>
    </row>
    <row r="51" spans="1:8">
      <c r="A51" s="26"/>
      <c r="B51" s="41" t="s">
        <v>102</v>
      </c>
      <c r="C51" s="36" t="s">
        <v>105</v>
      </c>
      <c r="D51" s="38">
        <v>12800</v>
      </c>
      <c r="E51" s="28"/>
      <c r="F51" s="27">
        <f t="shared" si="11"/>
        <v>0</v>
      </c>
      <c r="G51" s="27">
        <v>30</v>
      </c>
      <c r="H51" s="27">
        <f t="shared" si="12"/>
        <v>384000</v>
      </c>
    </row>
    <row r="52" spans="1:8">
      <c r="A52" s="26"/>
      <c r="B52" s="41" t="s">
        <v>103</v>
      </c>
      <c r="C52" s="42" t="s">
        <v>50</v>
      </c>
      <c r="D52" s="38">
        <v>36800</v>
      </c>
      <c r="E52" s="28"/>
      <c r="F52" s="27">
        <f t="shared" si="11"/>
        <v>0</v>
      </c>
      <c r="G52" s="27">
        <v>50</v>
      </c>
      <c r="H52" s="27">
        <f t="shared" si="12"/>
        <v>1840000</v>
      </c>
    </row>
    <row r="53" spans="1:8">
      <c r="A53" s="26"/>
      <c r="B53" s="41" t="s">
        <v>104</v>
      </c>
      <c r="C53" s="42" t="s">
        <v>50</v>
      </c>
      <c r="D53" s="38">
        <v>28800</v>
      </c>
      <c r="E53" s="28"/>
      <c r="F53" s="27">
        <f t="shared" si="11"/>
        <v>0</v>
      </c>
      <c r="G53" s="27">
        <v>30</v>
      </c>
      <c r="H53" s="27">
        <f t="shared" si="12"/>
        <v>864000</v>
      </c>
    </row>
    <row r="54" spans="1:8">
      <c r="A54" s="26"/>
      <c r="B54" s="41" t="s">
        <v>96</v>
      </c>
      <c r="C54" s="42" t="s">
        <v>50</v>
      </c>
      <c r="D54" s="43">
        <v>20000</v>
      </c>
      <c r="E54" s="28"/>
      <c r="F54" s="27">
        <f t="shared" si="11"/>
        <v>0</v>
      </c>
      <c r="G54" s="27">
        <v>35</v>
      </c>
      <c r="H54" s="27">
        <f t="shared" si="12"/>
        <v>700000</v>
      </c>
    </row>
    <row r="55" spans="1:8">
      <c r="A55" s="26"/>
      <c r="B55" s="41" t="s">
        <v>97</v>
      </c>
      <c r="C55" s="42" t="s">
        <v>50</v>
      </c>
      <c r="D55" s="43">
        <v>10400</v>
      </c>
      <c r="E55" s="28"/>
      <c r="F55" s="27">
        <f t="shared" si="11"/>
        <v>0</v>
      </c>
      <c r="G55" s="27">
        <v>35</v>
      </c>
      <c r="H55" s="27">
        <f t="shared" si="12"/>
        <v>364000</v>
      </c>
    </row>
    <row r="56" spans="1:8" ht="15">
      <c r="A56" s="35" t="s">
        <v>19</v>
      </c>
      <c r="B56" s="31" t="s">
        <v>98</v>
      </c>
      <c r="C56" s="32"/>
      <c r="D56" s="33"/>
      <c r="E56" s="34"/>
      <c r="F56" s="33">
        <f>SUM(F43:F55)</f>
        <v>281403000</v>
      </c>
      <c r="G56" s="33"/>
      <c r="H56" s="33">
        <f>SUM(H43:H55)</f>
        <v>350543000</v>
      </c>
    </row>
    <row r="57" spans="1:8" ht="15">
      <c r="A57" s="35"/>
      <c r="B57" s="25" t="s">
        <v>81</v>
      </c>
      <c r="C57" s="26" t="s">
        <v>52</v>
      </c>
      <c r="D57" s="27">
        <v>80000</v>
      </c>
      <c r="E57" s="28"/>
      <c r="F57" s="27">
        <f>E57*D57</f>
        <v>0</v>
      </c>
      <c r="G57" s="27">
        <v>50</v>
      </c>
      <c r="H57" s="27">
        <f>G57*D57</f>
        <v>4000000</v>
      </c>
    </row>
    <row r="58" spans="1:8" ht="15">
      <c r="A58" s="35"/>
      <c r="B58" s="25" t="s">
        <v>99</v>
      </c>
      <c r="C58" s="26" t="s">
        <v>46</v>
      </c>
      <c r="D58" s="27">
        <v>180000</v>
      </c>
      <c r="E58" s="28">
        <v>23</v>
      </c>
      <c r="F58" s="27">
        <f>E58*D58</f>
        <v>4140000</v>
      </c>
      <c r="G58" s="27">
        <v>43</v>
      </c>
      <c r="H58" s="27">
        <f>G58*D58</f>
        <v>7740000</v>
      </c>
    </row>
    <row r="59" spans="1:8" ht="15">
      <c r="A59" s="35"/>
      <c r="B59" s="25" t="s">
        <v>82</v>
      </c>
      <c r="C59" s="26" t="s">
        <v>83</v>
      </c>
      <c r="D59" s="27">
        <v>63800</v>
      </c>
      <c r="E59" s="28"/>
      <c r="F59" s="27">
        <f t="shared" ref="F59" si="13">E59*D59</f>
        <v>0</v>
      </c>
      <c r="G59" s="27">
        <v>10</v>
      </c>
      <c r="H59" s="27">
        <f t="shared" ref="H59" si="14">G59*D59</f>
        <v>638000</v>
      </c>
    </row>
    <row r="60" spans="1:8">
      <c r="A60" s="36"/>
      <c r="B60" s="37" t="s">
        <v>56</v>
      </c>
      <c r="C60" s="36" t="s">
        <v>55</v>
      </c>
      <c r="D60" s="38">
        <v>3650</v>
      </c>
      <c r="E60" s="39">
        <v>270</v>
      </c>
      <c r="F60" s="38">
        <f>E60*D60</f>
        <v>985500</v>
      </c>
      <c r="G60" s="39">
        <v>945</v>
      </c>
      <c r="H60" s="38">
        <f>G60*D60</f>
        <v>3449250</v>
      </c>
    </row>
    <row r="61" spans="1:8">
      <c r="A61" s="36"/>
      <c r="B61" s="37" t="s">
        <v>57</v>
      </c>
      <c r="C61" s="36" t="s">
        <v>58</v>
      </c>
      <c r="D61" s="38"/>
      <c r="E61" s="39"/>
      <c r="F61" s="38"/>
      <c r="G61" s="39"/>
      <c r="H61" s="38">
        <v>500000</v>
      </c>
    </row>
    <row r="62" spans="1:8">
      <c r="A62" s="36"/>
      <c r="B62" s="37" t="s">
        <v>59</v>
      </c>
      <c r="C62" s="36" t="s">
        <v>46</v>
      </c>
      <c r="D62" s="38">
        <v>80000</v>
      </c>
      <c r="E62" s="39"/>
      <c r="F62" s="38">
        <f t="shared" ref="F62:F67" si="15">E62*D62</f>
        <v>0</v>
      </c>
      <c r="G62" s="39">
        <v>25</v>
      </c>
      <c r="H62" s="38">
        <f t="shared" ref="H62:H67" si="16">G62*D62</f>
        <v>2000000</v>
      </c>
    </row>
    <row r="63" spans="1:8">
      <c r="A63" s="36"/>
      <c r="B63" s="37" t="s">
        <v>60</v>
      </c>
      <c r="C63" s="36" t="s">
        <v>61</v>
      </c>
      <c r="D63" s="38">
        <v>2600</v>
      </c>
      <c r="E63" s="39"/>
      <c r="F63" s="38">
        <f t="shared" si="15"/>
        <v>0</v>
      </c>
      <c r="G63" s="39">
        <v>360</v>
      </c>
      <c r="H63" s="38">
        <f t="shared" si="16"/>
        <v>936000</v>
      </c>
    </row>
    <row r="64" spans="1:8">
      <c r="A64" s="36"/>
      <c r="B64" s="40" t="s">
        <v>84</v>
      </c>
      <c r="C64" s="36" t="s">
        <v>62</v>
      </c>
      <c r="D64" s="38">
        <v>215592</v>
      </c>
      <c r="E64" s="39"/>
      <c r="F64" s="38">
        <f t="shared" si="15"/>
        <v>0</v>
      </c>
      <c r="G64" s="39">
        <v>3</v>
      </c>
      <c r="H64" s="38">
        <f t="shared" si="16"/>
        <v>646776</v>
      </c>
    </row>
    <row r="65" spans="1:8">
      <c r="A65" s="36"/>
      <c r="B65" s="40" t="s">
        <v>63</v>
      </c>
      <c r="C65" s="36" t="s">
        <v>62</v>
      </c>
      <c r="D65" s="38">
        <v>275200</v>
      </c>
      <c r="E65" s="39"/>
      <c r="F65" s="38">
        <f t="shared" si="15"/>
        <v>0</v>
      </c>
      <c r="G65" s="39">
        <v>1</v>
      </c>
      <c r="H65" s="38">
        <f t="shared" si="16"/>
        <v>275200</v>
      </c>
    </row>
    <row r="66" spans="1:8">
      <c r="A66" s="36"/>
      <c r="B66" s="40" t="s">
        <v>64</v>
      </c>
      <c r="C66" s="36" t="s">
        <v>62</v>
      </c>
      <c r="D66" s="38">
        <v>444312</v>
      </c>
      <c r="E66" s="39"/>
      <c r="F66" s="38">
        <f t="shared" si="15"/>
        <v>0</v>
      </c>
      <c r="G66" s="39">
        <v>1</v>
      </c>
      <c r="H66" s="38">
        <f t="shared" si="16"/>
        <v>444312</v>
      </c>
    </row>
    <row r="67" spans="1:8">
      <c r="A67" s="36"/>
      <c r="B67" s="40" t="s">
        <v>65</v>
      </c>
      <c r="C67" s="36" t="s">
        <v>62</v>
      </c>
      <c r="D67" s="38">
        <v>275200</v>
      </c>
      <c r="E67" s="39"/>
      <c r="F67" s="39">
        <f t="shared" si="15"/>
        <v>0</v>
      </c>
      <c r="G67" s="39">
        <v>1</v>
      </c>
      <c r="H67" s="39">
        <f t="shared" si="16"/>
        <v>275200</v>
      </c>
    </row>
    <row r="68" spans="1:8" ht="15">
      <c r="A68" s="7" t="s">
        <v>90</v>
      </c>
      <c r="B68" s="8" t="s">
        <v>40</v>
      </c>
      <c r="C68" s="7"/>
      <c r="D68" s="9"/>
      <c r="E68" s="10"/>
      <c r="F68" s="9">
        <f>SUM(F57:F67)</f>
        <v>5125500</v>
      </c>
      <c r="G68" s="9"/>
      <c r="H68" s="9">
        <f>SUM(H57:H67)</f>
        <v>20904738</v>
      </c>
    </row>
    <row r="69" spans="1:8" ht="15">
      <c r="A69" s="7" t="s">
        <v>20</v>
      </c>
      <c r="B69" s="8" t="s">
        <v>25</v>
      </c>
      <c r="C69" s="7"/>
      <c r="D69" s="9"/>
      <c r="E69" s="10"/>
      <c r="F69" s="9">
        <f>F68+F56</f>
        <v>286528500</v>
      </c>
      <c r="G69" s="9"/>
      <c r="H69" s="9">
        <f t="shared" ref="H69" si="17">H68+H56</f>
        <v>371447738</v>
      </c>
    </row>
    <row r="70" spans="1:8" ht="15">
      <c r="A70" s="7" t="s">
        <v>22</v>
      </c>
      <c r="B70" s="8" t="s">
        <v>26</v>
      </c>
      <c r="C70" s="7"/>
      <c r="D70" s="9"/>
      <c r="E70" s="10"/>
      <c r="F70" s="9">
        <f>F69+F42</f>
        <v>400326500</v>
      </c>
      <c r="G70" s="9"/>
      <c r="H70" s="9">
        <f>H69+H42</f>
        <v>965151658</v>
      </c>
    </row>
    <row r="71" spans="1:8" ht="15">
      <c r="A71" s="7" t="s">
        <v>23</v>
      </c>
      <c r="B71" s="8" t="s">
        <v>11</v>
      </c>
      <c r="C71" s="7"/>
      <c r="D71" s="9"/>
      <c r="E71" s="10"/>
      <c r="F71" s="9">
        <f>F70*0.1</f>
        <v>40032650</v>
      </c>
      <c r="G71" s="9"/>
      <c r="H71" s="9">
        <f t="shared" ref="H71" si="18">H70*0.1</f>
        <v>96515165.800000012</v>
      </c>
    </row>
    <row r="72" spans="1:8" ht="15">
      <c r="A72" s="7" t="s">
        <v>24</v>
      </c>
      <c r="B72" s="8" t="s">
        <v>27</v>
      </c>
      <c r="C72" s="7"/>
      <c r="D72" s="9"/>
      <c r="E72" s="10"/>
      <c r="F72" s="9">
        <f>F70+F71</f>
        <v>440359150</v>
      </c>
      <c r="G72" s="9"/>
      <c r="H72" s="9">
        <f t="shared" ref="H72" si="19">H70+H71</f>
        <v>1061666823.8</v>
      </c>
    </row>
    <row r="73" spans="1:8" ht="15">
      <c r="A73" s="16"/>
      <c r="B73" s="17"/>
      <c r="C73" s="16"/>
      <c r="D73" s="18"/>
      <c r="E73" s="19"/>
      <c r="F73" s="18"/>
      <c r="G73" s="18"/>
      <c r="H73" s="18"/>
    </row>
    <row r="74" spans="1:8" ht="15">
      <c r="B74" s="2" t="s">
        <v>5</v>
      </c>
    </row>
    <row r="75" spans="1:8">
      <c r="B75" s="1" t="s">
        <v>66</v>
      </c>
      <c r="F75" s="126" t="s">
        <v>72</v>
      </c>
      <c r="G75" s="126"/>
    </row>
    <row r="76" spans="1:8">
      <c r="F76" s="45"/>
      <c r="G76" s="45"/>
    </row>
    <row r="77" spans="1:8">
      <c r="B77" s="1" t="s">
        <v>67</v>
      </c>
      <c r="F77" s="126" t="s">
        <v>73</v>
      </c>
      <c r="G77" s="126"/>
    </row>
    <row r="78" spans="1:8">
      <c r="F78" s="45"/>
      <c r="G78" s="45"/>
    </row>
    <row r="79" spans="1:8">
      <c r="B79" s="3" t="s">
        <v>71</v>
      </c>
      <c r="F79" s="126" t="s">
        <v>74</v>
      </c>
      <c r="G79" s="126"/>
    </row>
    <row r="81" spans="2:7" ht="15">
      <c r="B81" s="2" t="s">
        <v>1</v>
      </c>
    </row>
    <row r="82" spans="2:7">
      <c r="B82" s="1" t="s">
        <v>35</v>
      </c>
      <c r="F82" s="1" t="s">
        <v>45</v>
      </c>
    </row>
    <row r="84" spans="2:7" ht="15">
      <c r="B84" s="2" t="s">
        <v>2</v>
      </c>
    </row>
    <row r="85" spans="2:7">
      <c r="B85" s="1" t="s">
        <v>34</v>
      </c>
      <c r="F85" s="126" t="s">
        <v>75</v>
      </c>
      <c r="G85" s="126"/>
    </row>
    <row r="86" spans="2:7">
      <c r="F86" s="45"/>
      <c r="G86" s="45"/>
    </row>
    <row r="87" spans="2:7">
      <c r="B87" s="1" t="s">
        <v>34</v>
      </c>
      <c r="F87" s="1" t="s">
        <v>44</v>
      </c>
    </row>
  </sheetData>
  <mergeCells count="17">
    <mergeCell ref="A11:H11"/>
    <mergeCell ref="A2:H2"/>
    <mergeCell ref="A3:H3"/>
    <mergeCell ref="A4:H4"/>
    <mergeCell ref="B7:H7"/>
    <mergeCell ref="B9:H9"/>
    <mergeCell ref="F75:G75"/>
    <mergeCell ref="F77:G77"/>
    <mergeCell ref="F79:G79"/>
    <mergeCell ref="F85:G85"/>
    <mergeCell ref="A13:H13"/>
    <mergeCell ref="A15:A16"/>
    <mergeCell ref="B15:B16"/>
    <mergeCell ref="C15:C16"/>
    <mergeCell ref="D15:D16"/>
    <mergeCell ref="E15:F15"/>
    <mergeCell ref="G15:H15"/>
  </mergeCells>
  <pageMargins left="1.1811023622047245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workbookViewId="0">
      <selection activeCell="D32" sqref="D32"/>
    </sheetView>
  </sheetViews>
  <sheetFormatPr defaultRowHeight="14.25"/>
  <cols>
    <col min="1" max="1" width="4.625" style="14" customWidth="1"/>
    <col min="2" max="2" width="45.75" style="1" customWidth="1"/>
    <col min="3" max="3" width="11.25" style="1" customWidth="1"/>
    <col min="4" max="4" width="13.25" style="1" customWidth="1"/>
    <col min="5" max="5" width="11.25" style="1" customWidth="1"/>
    <col min="6" max="6" width="13.125" style="1" customWidth="1"/>
    <col min="7" max="7" width="12.125" style="1" customWidth="1"/>
    <col min="8" max="8" width="17.625" style="1" customWidth="1"/>
    <col min="9" max="9" width="14" style="1" customWidth="1"/>
    <col min="10" max="16384" width="9" style="1"/>
  </cols>
  <sheetData>
    <row r="1" spans="1:8">
      <c r="A1" s="127" t="s">
        <v>41</v>
      </c>
      <c r="B1" s="127"/>
      <c r="C1" s="127"/>
      <c r="D1" s="127"/>
      <c r="E1" s="127"/>
      <c r="F1" s="127"/>
      <c r="G1" s="127"/>
      <c r="H1" s="127"/>
    </row>
    <row r="2" spans="1:8">
      <c r="A2" s="127" t="s">
        <v>42</v>
      </c>
      <c r="B2" s="127"/>
      <c r="C2" s="127"/>
      <c r="D2" s="127"/>
      <c r="E2" s="127"/>
      <c r="F2" s="127"/>
      <c r="G2" s="127"/>
      <c r="H2" s="127"/>
    </row>
    <row r="3" spans="1:8">
      <c r="A3" s="127" t="s">
        <v>43</v>
      </c>
      <c r="B3" s="127"/>
      <c r="C3" s="127"/>
      <c r="D3" s="127"/>
      <c r="E3" s="127"/>
      <c r="F3" s="127"/>
      <c r="G3" s="127"/>
      <c r="H3" s="127"/>
    </row>
    <row r="6" spans="1:8" ht="15">
      <c r="B6" s="132" t="s">
        <v>69</v>
      </c>
      <c r="C6" s="132"/>
      <c r="D6" s="132"/>
      <c r="E6" s="132"/>
      <c r="F6" s="132"/>
      <c r="G6" s="132"/>
      <c r="H6" s="132"/>
    </row>
    <row r="7" spans="1:8" ht="15">
      <c r="B7" s="132" t="s">
        <v>33</v>
      </c>
      <c r="C7" s="132"/>
      <c r="D7" s="132"/>
      <c r="E7" s="132"/>
      <c r="F7" s="132"/>
      <c r="G7" s="132"/>
      <c r="H7" s="132"/>
    </row>
    <row r="8" spans="1:8" ht="15">
      <c r="B8" s="53"/>
      <c r="C8" s="53"/>
      <c r="D8" s="133" t="s">
        <v>110</v>
      </c>
      <c r="E8" s="133"/>
      <c r="F8" s="133"/>
      <c r="G8" s="133"/>
    </row>
    <row r="9" spans="1:8">
      <c r="A9" s="127" t="s">
        <v>109</v>
      </c>
      <c r="B9" s="127"/>
      <c r="C9" s="127"/>
      <c r="D9" s="127"/>
      <c r="E9" s="127"/>
      <c r="F9" s="127"/>
      <c r="G9" s="127"/>
      <c r="H9" s="127"/>
    </row>
    <row r="10" spans="1:8">
      <c r="A10" s="50"/>
      <c r="B10" s="50"/>
      <c r="C10" s="50"/>
      <c r="D10" s="50"/>
      <c r="E10" s="50"/>
      <c r="F10" s="50"/>
      <c r="G10" s="50"/>
      <c r="H10" s="50"/>
    </row>
    <row r="11" spans="1:8">
      <c r="A11" s="127" t="s">
        <v>68</v>
      </c>
      <c r="B11" s="127"/>
      <c r="C11" s="127"/>
      <c r="D11" s="127"/>
      <c r="E11" s="127"/>
      <c r="F11" s="127"/>
      <c r="G11" s="127"/>
      <c r="H11" s="127"/>
    </row>
    <row r="13" spans="1:8">
      <c r="A13" s="128" t="s">
        <v>32</v>
      </c>
      <c r="B13" s="128" t="s">
        <v>6</v>
      </c>
      <c r="C13" s="129" t="s">
        <v>28</v>
      </c>
      <c r="D13" s="129" t="s">
        <v>29</v>
      </c>
      <c r="E13" s="131" t="s">
        <v>30</v>
      </c>
      <c r="F13" s="131"/>
      <c r="G13" s="131" t="s">
        <v>31</v>
      </c>
      <c r="H13" s="131"/>
    </row>
    <row r="14" spans="1:8">
      <c r="A14" s="128"/>
      <c r="B14" s="128"/>
      <c r="C14" s="130"/>
      <c r="D14" s="130"/>
      <c r="E14" s="51" t="s">
        <v>7</v>
      </c>
      <c r="F14" s="51" t="s">
        <v>0</v>
      </c>
      <c r="G14" s="51" t="s">
        <v>7</v>
      </c>
      <c r="H14" s="51" t="s">
        <v>0</v>
      </c>
    </row>
    <row r="15" spans="1:8">
      <c r="A15" s="51">
        <v>0</v>
      </c>
      <c r="B15" s="51">
        <v>1</v>
      </c>
      <c r="C15" s="52">
        <v>2</v>
      </c>
      <c r="D15" s="52">
        <v>3</v>
      </c>
      <c r="E15" s="51">
        <v>4</v>
      </c>
      <c r="F15" s="51">
        <v>5</v>
      </c>
      <c r="G15" s="51">
        <v>6</v>
      </c>
      <c r="H15" s="51">
        <v>7</v>
      </c>
    </row>
    <row r="16" spans="1:8">
      <c r="A16" s="51"/>
      <c r="B16" s="4" t="s">
        <v>4</v>
      </c>
      <c r="C16" s="51" t="s">
        <v>46</v>
      </c>
      <c r="D16" s="5">
        <v>160000</v>
      </c>
      <c r="E16" s="6">
        <v>21.5</v>
      </c>
      <c r="F16" s="5">
        <f>E16*D16</f>
        <v>3440000</v>
      </c>
      <c r="G16" s="6">
        <f>+E16</f>
        <v>21.5</v>
      </c>
      <c r="H16" s="5">
        <f>G16*D16</f>
        <v>3440000</v>
      </c>
    </row>
    <row r="17" spans="1:8">
      <c r="A17" s="51"/>
      <c r="B17" s="4" t="s">
        <v>3</v>
      </c>
      <c r="C17" s="51" t="s">
        <v>47</v>
      </c>
      <c r="D17" s="5">
        <v>5900</v>
      </c>
      <c r="E17" s="6">
        <v>478</v>
      </c>
      <c r="F17" s="5">
        <f t="shared" ref="F17" si="0">E17*D17</f>
        <v>2820200</v>
      </c>
      <c r="G17" s="6">
        <f t="shared" ref="G17:G25" si="1">+E17</f>
        <v>478</v>
      </c>
      <c r="H17" s="5">
        <f t="shared" ref="H17" si="2">G17*D17</f>
        <v>2820200</v>
      </c>
    </row>
    <row r="18" spans="1:8" ht="15">
      <c r="A18" s="7" t="s">
        <v>12</v>
      </c>
      <c r="B18" s="8" t="s">
        <v>36</v>
      </c>
      <c r="C18" s="7"/>
      <c r="D18" s="9"/>
      <c r="E18" s="10"/>
      <c r="F18" s="9">
        <f>SUM(F16:F17)</f>
        <v>6260200</v>
      </c>
      <c r="G18" s="6"/>
      <c r="H18" s="9">
        <f t="shared" ref="H18" si="3">SUM(H16:H17)</f>
        <v>6260200</v>
      </c>
    </row>
    <row r="19" spans="1:8">
      <c r="A19" s="51"/>
      <c r="B19" s="4" t="s">
        <v>107</v>
      </c>
      <c r="C19" s="51" t="s">
        <v>46</v>
      </c>
      <c r="D19" s="5">
        <v>160000</v>
      </c>
      <c r="E19" s="6">
        <v>286</v>
      </c>
      <c r="F19" s="5">
        <f t="shared" ref="F19" si="4">E19*D19</f>
        <v>45760000</v>
      </c>
      <c r="G19" s="6">
        <f t="shared" si="1"/>
        <v>286</v>
      </c>
      <c r="H19" s="5">
        <f t="shared" ref="H19" si="5">D19*G19</f>
        <v>45760000</v>
      </c>
    </row>
    <row r="20" spans="1:8" ht="15">
      <c r="A20" s="7" t="s">
        <v>13</v>
      </c>
      <c r="B20" s="8" t="s">
        <v>0</v>
      </c>
      <c r="C20" s="12"/>
      <c r="D20" s="9"/>
      <c r="E20" s="10"/>
      <c r="F20" s="9">
        <f>SUM(F19:F19)</f>
        <v>45760000</v>
      </c>
      <c r="G20" s="6">
        <f t="shared" si="1"/>
        <v>0</v>
      </c>
      <c r="H20" s="9">
        <f>SUM(H19:H19)</f>
        <v>45760000</v>
      </c>
    </row>
    <row r="21" spans="1:8" ht="15">
      <c r="A21" s="7" t="s">
        <v>88</v>
      </c>
      <c r="B21" s="8" t="s">
        <v>112</v>
      </c>
      <c r="C21" s="7"/>
      <c r="D21" s="9"/>
      <c r="E21" s="10"/>
      <c r="F21" s="9">
        <f>F20+F18</f>
        <v>52020200</v>
      </c>
      <c r="G21" s="6">
        <f t="shared" si="1"/>
        <v>0</v>
      </c>
      <c r="H21" s="9">
        <f t="shared" ref="H21" si="6">H20+H18</f>
        <v>52020200</v>
      </c>
    </row>
    <row r="22" spans="1:8">
      <c r="A22" s="36"/>
      <c r="B22" s="40" t="s">
        <v>84</v>
      </c>
      <c r="C22" s="36" t="s">
        <v>62</v>
      </c>
      <c r="D22" s="38">
        <v>215592</v>
      </c>
      <c r="E22" s="39">
        <v>3</v>
      </c>
      <c r="F22" s="38">
        <f t="shared" ref="F22:F25" si="7">E22*D22</f>
        <v>646776</v>
      </c>
      <c r="G22" s="6">
        <f t="shared" si="1"/>
        <v>3</v>
      </c>
      <c r="H22" s="38">
        <f t="shared" ref="H22:H25" si="8">G22*D22</f>
        <v>646776</v>
      </c>
    </row>
    <row r="23" spans="1:8">
      <c r="A23" s="36"/>
      <c r="B23" s="40" t="s">
        <v>63</v>
      </c>
      <c r="C23" s="36" t="s">
        <v>62</v>
      </c>
      <c r="D23" s="38">
        <v>275200</v>
      </c>
      <c r="E23" s="39">
        <v>1</v>
      </c>
      <c r="F23" s="38">
        <f t="shared" si="7"/>
        <v>275200</v>
      </c>
      <c r="G23" s="6">
        <f t="shared" si="1"/>
        <v>1</v>
      </c>
      <c r="H23" s="38">
        <f t="shared" si="8"/>
        <v>275200</v>
      </c>
    </row>
    <row r="24" spans="1:8">
      <c r="A24" s="36"/>
      <c r="B24" s="40" t="s">
        <v>64</v>
      </c>
      <c r="C24" s="36" t="s">
        <v>62</v>
      </c>
      <c r="D24" s="38">
        <v>444312</v>
      </c>
      <c r="E24" s="39">
        <v>1</v>
      </c>
      <c r="F24" s="38">
        <f t="shared" si="7"/>
        <v>444312</v>
      </c>
      <c r="G24" s="6">
        <f t="shared" si="1"/>
        <v>1</v>
      </c>
      <c r="H24" s="38">
        <f t="shared" si="8"/>
        <v>444312</v>
      </c>
    </row>
    <row r="25" spans="1:8">
      <c r="A25" s="36"/>
      <c r="B25" s="40" t="s">
        <v>65</v>
      </c>
      <c r="C25" s="36" t="s">
        <v>62</v>
      </c>
      <c r="D25" s="38">
        <v>275200</v>
      </c>
      <c r="E25" s="39">
        <v>1</v>
      </c>
      <c r="F25" s="39">
        <f t="shared" si="7"/>
        <v>275200</v>
      </c>
      <c r="G25" s="6">
        <f t="shared" si="1"/>
        <v>1</v>
      </c>
      <c r="H25" s="39">
        <f t="shared" si="8"/>
        <v>275200</v>
      </c>
    </row>
    <row r="26" spans="1:8" ht="15">
      <c r="A26" s="7" t="s">
        <v>14</v>
      </c>
      <c r="B26" s="8" t="s">
        <v>40</v>
      </c>
      <c r="C26" s="7"/>
      <c r="D26" s="9"/>
      <c r="E26" s="10"/>
      <c r="F26" s="9">
        <f>SUM(F22:F25)</f>
        <v>1641488</v>
      </c>
      <c r="G26" s="9"/>
      <c r="H26" s="9">
        <f>SUM(H22:H25)</f>
        <v>1641488</v>
      </c>
    </row>
    <row r="27" spans="1:8" ht="15">
      <c r="A27" s="7" t="s">
        <v>89</v>
      </c>
      <c r="B27" s="8" t="s">
        <v>113</v>
      </c>
      <c r="C27" s="7"/>
      <c r="D27" s="9"/>
      <c r="E27" s="10"/>
      <c r="F27" s="9">
        <f>F26</f>
        <v>1641488</v>
      </c>
      <c r="G27" s="9"/>
      <c r="H27" s="9">
        <f t="shared" ref="H27" si="9">H26</f>
        <v>1641488</v>
      </c>
    </row>
    <row r="28" spans="1:8" ht="15">
      <c r="A28" s="7" t="s">
        <v>18</v>
      </c>
      <c r="B28" s="8" t="s">
        <v>114</v>
      </c>
      <c r="C28" s="7"/>
      <c r="D28" s="9"/>
      <c r="E28" s="10"/>
      <c r="F28" s="9">
        <f>F27+F21</f>
        <v>53661688</v>
      </c>
      <c r="G28" s="9"/>
      <c r="H28" s="9">
        <f>H27+H21</f>
        <v>53661688</v>
      </c>
    </row>
    <row r="29" spans="1:8" ht="15">
      <c r="A29" s="7" t="s">
        <v>19</v>
      </c>
      <c r="B29" s="8" t="s">
        <v>11</v>
      </c>
      <c r="C29" s="7"/>
      <c r="D29" s="9"/>
      <c r="E29" s="10"/>
      <c r="F29" s="9">
        <f>F28*0.1</f>
        <v>5366168.8000000007</v>
      </c>
      <c r="G29" s="9"/>
      <c r="H29" s="9">
        <f t="shared" ref="H29" si="10">H28*0.1</f>
        <v>5366168.8000000007</v>
      </c>
    </row>
    <row r="30" spans="1:8" ht="15">
      <c r="A30" s="7" t="s">
        <v>90</v>
      </c>
      <c r="B30" s="8" t="s">
        <v>115</v>
      </c>
      <c r="C30" s="7"/>
      <c r="D30" s="9"/>
      <c r="E30" s="10"/>
      <c r="F30" s="9">
        <f>F28+F29</f>
        <v>59027856.799999997</v>
      </c>
      <c r="G30" s="9"/>
      <c r="H30" s="9">
        <f t="shared" ref="H30" si="11">H28+H29</f>
        <v>59027856.799999997</v>
      </c>
    </row>
    <row r="31" spans="1:8" ht="15">
      <c r="A31" s="16"/>
      <c r="B31" s="17"/>
      <c r="C31" s="16"/>
      <c r="D31" s="18"/>
      <c r="E31" s="19"/>
      <c r="F31" s="18"/>
      <c r="G31" s="18"/>
      <c r="H31" s="18"/>
    </row>
    <row r="32" spans="1:8" ht="15">
      <c r="B32" s="2" t="s">
        <v>5</v>
      </c>
    </row>
    <row r="33" spans="2:7">
      <c r="B33" s="1" t="s">
        <v>66</v>
      </c>
      <c r="F33" s="126" t="s">
        <v>111</v>
      </c>
      <c r="G33" s="126"/>
    </row>
    <row r="34" spans="2:7">
      <c r="F34" s="49"/>
      <c r="G34" s="49"/>
    </row>
    <row r="35" spans="2:7">
      <c r="B35" s="1" t="s">
        <v>67</v>
      </c>
      <c r="F35" s="126" t="s">
        <v>73</v>
      </c>
      <c r="G35" s="126"/>
    </row>
    <row r="36" spans="2:7">
      <c r="F36" s="49"/>
      <c r="G36" s="49"/>
    </row>
    <row r="37" spans="2:7">
      <c r="B37" s="3" t="s">
        <v>71</v>
      </c>
      <c r="F37" s="126" t="s">
        <v>74</v>
      </c>
      <c r="G37" s="126"/>
    </row>
    <row r="39" spans="2:7" ht="15">
      <c r="B39" s="2" t="s">
        <v>1</v>
      </c>
    </row>
    <row r="40" spans="2:7">
      <c r="B40" s="1" t="s">
        <v>35</v>
      </c>
      <c r="F40" s="1" t="s">
        <v>45</v>
      </c>
    </row>
    <row r="42" spans="2:7" ht="15">
      <c r="B42" s="2" t="s">
        <v>2</v>
      </c>
    </row>
    <row r="43" spans="2:7">
      <c r="B43" s="1" t="s">
        <v>34</v>
      </c>
      <c r="F43" s="126" t="s">
        <v>75</v>
      </c>
      <c r="G43" s="126"/>
    </row>
    <row r="44" spans="2:7">
      <c r="F44" s="49"/>
      <c r="G44" s="49"/>
    </row>
    <row r="45" spans="2:7">
      <c r="B45" s="1" t="s">
        <v>34</v>
      </c>
      <c r="F45" s="1" t="s">
        <v>44</v>
      </c>
    </row>
  </sheetData>
  <mergeCells count="18">
    <mergeCell ref="A1:H1"/>
    <mergeCell ref="A2:H2"/>
    <mergeCell ref="A3:H3"/>
    <mergeCell ref="B6:H6"/>
    <mergeCell ref="B7:H7"/>
    <mergeCell ref="F33:G33"/>
    <mergeCell ref="F35:G35"/>
    <mergeCell ref="F37:G37"/>
    <mergeCell ref="F43:G43"/>
    <mergeCell ref="D8:G8"/>
    <mergeCell ref="A11:H11"/>
    <mergeCell ref="A13:A14"/>
    <mergeCell ref="B13:B14"/>
    <mergeCell ref="C13:C14"/>
    <mergeCell ref="D13:D14"/>
    <mergeCell ref="E13:F13"/>
    <mergeCell ref="G13:H13"/>
    <mergeCell ref="A9:H9"/>
  </mergeCells>
  <pageMargins left="1.1023622047244095" right="0.70866141732283472" top="0.74803149606299213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XFD1048576"/>
    </sheetView>
  </sheetViews>
  <sheetFormatPr defaultRowHeight="14.25"/>
  <cols>
    <col min="1" max="1" width="4.625" style="14" customWidth="1"/>
    <col min="2" max="2" width="40.75" style="1" customWidth="1"/>
    <col min="3" max="3" width="7.375" style="1" customWidth="1"/>
    <col min="4" max="4" width="9.125" style="1" customWidth="1"/>
    <col min="5" max="5" width="11.25" style="1" customWidth="1"/>
    <col min="6" max="6" width="12.25" style="1" customWidth="1"/>
    <col min="7" max="7" width="12.125" style="1" customWidth="1"/>
    <col min="8" max="8" width="14.875" style="1" customWidth="1"/>
    <col min="9" max="9" width="14" style="1" customWidth="1"/>
    <col min="10" max="16384" width="9" style="1"/>
  </cols>
  <sheetData>
    <row r="1" spans="1:8">
      <c r="A1" s="127" t="s">
        <v>41</v>
      </c>
      <c r="B1" s="127"/>
      <c r="C1" s="127"/>
      <c r="D1" s="127"/>
      <c r="E1" s="127"/>
      <c r="F1" s="127"/>
      <c r="G1" s="127"/>
      <c r="H1" s="127"/>
    </row>
    <row r="2" spans="1:8">
      <c r="A2" s="127" t="s">
        <v>42</v>
      </c>
      <c r="B2" s="127"/>
      <c r="C2" s="127"/>
      <c r="D2" s="127"/>
      <c r="E2" s="127"/>
      <c r="F2" s="127"/>
      <c r="G2" s="127"/>
      <c r="H2" s="127"/>
    </row>
    <row r="3" spans="1:8">
      <c r="A3" s="127" t="s">
        <v>43</v>
      </c>
      <c r="B3" s="127"/>
      <c r="C3" s="127"/>
      <c r="D3" s="127"/>
      <c r="E3" s="127"/>
      <c r="F3" s="127"/>
      <c r="G3" s="127"/>
      <c r="H3" s="127"/>
    </row>
    <row r="4" spans="1:8" ht="5.25" customHeight="1"/>
    <row r="5" spans="1:8" ht="15">
      <c r="B5" s="132" t="s">
        <v>69</v>
      </c>
      <c r="C5" s="132"/>
      <c r="D5" s="132"/>
      <c r="E5" s="132"/>
      <c r="F5" s="132"/>
      <c r="G5" s="132"/>
      <c r="H5" s="132"/>
    </row>
    <row r="6" spans="1:8" ht="15">
      <c r="B6" s="132" t="s">
        <v>33</v>
      </c>
      <c r="C6" s="132"/>
      <c r="D6" s="132"/>
      <c r="E6" s="132"/>
      <c r="F6" s="132"/>
      <c r="G6" s="132"/>
      <c r="H6" s="132"/>
    </row>
    <row r="7" spans="1:8" ht="15">
      <c r="B7" s="58"/>
      <c r="C7" s="58"/>
      <c r="D7" s="133" t="s">
        <v>110</v>
      </c>
      <c r="E7" s="133"/>
      <c r="F7" s="133"/>
      <c r="G7" s="133"/>
    </row>
    <row r="8" spans="1:8">
      <c r="A8" s="127" t="s">
        <v>117</v>
      </c>
      <c r="B8" s="127"/>
      <c r="C8" s="127"/>
      <c r="D8" s="127"/>
      <c r="E8" s="127"/>
      <c r="F8" s="127"/>
      <c r="G8" s="127"/>
      <c r="H8" s="127"/>
    </row>
    <row r="9" spans="1:8" ht="5.25" customHeight="1">
      <c r="A9" s="55"/>
      <c r="B9" s="55"/>
      <c r="C9" s="55"/>
      <c r="D9" s="55"/>
      <c r="E9" s="55"/>
      <c r="F9" s="55"/>
      <c r="G9" s="55"/>
      <c r="H9" s="55"/>
    </row>
    <row r="10" spans="1:8">
      <c r="A10" s="127" t="s">
        <v>68</v>
      </c>
      <c r="B10" s="127"/>
      <c r="C10" s="127"/>
      <c r="D10" s="127"/>
      <c r="E10" s="127"/>
      <c r="F10" s="127"/>
      <c r="G10" s="127"/>
      <c r="H10" s="127"/>
    </row>
    <row r="11" spans="1:8" ht="3.75" customHeight="1"/>
    <row r="12" spans="1:8">
      <c r="A12" s="128" t="s">
        <v>32</v>
      </c>
      <c r="B12" s="128" t="s">
        <v>6</v>
      </c>
      <c r="C12" s="129" t="s">
        <v>28</v>
      </c>
      <c r="D12" s="129" t="s">
        <v>29</v>
      </c>
      <c r="E12" s="131" t="s">
        <v>30</v>
      </c>
      <c r="F12" s="131"/>
      <c r="G12" s="131" t="s">
        <v>31</v>
      </c>
      <c r="H12" s="131"/>
    </row>
    <row r="13" spans="1:8">
      <c r="A13" s="128"/>
      <c r="B13" s="128"/>
      <c r="C13" s="130"/>
      <c r="D13" s="130"/>
      <c r="E13" s="56" t="s">
        <v>7</v>
      </c>
      <c r="F13" s="56" t="s">
        <v>0</v>
      </c>
      <c r="G13" s="56" t="s">
        <v>7</v>
      </c>
      <c r="H13" s="56" t="s">
        <v>0</v>
      </c>
    </row>
    <row r="14" spans="1:8" ht="11.25" customHeight="1">
      <c r="A14" s="56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ht="12" customHeight="1">
      <c r="A15" s="56"/>
      <c r="B15" s="4" t="s">
        <v>4</v>
      </c>
      <c r="C15" s="56" t="s">
        <v>46</v>
      </c>
      <c r="D15" s="5">
        <v>160000</v>
      </c>
      <c r="E15" s="6"/>
      <c r="F15" s="5">
        <f>E15*D15</f>
        <v>0</v>
      </c>
      <c r="G15" s="6">
        <v>21.5</v>
      </c>
      <c r="H15" s="5">
        <v>3440000</v>
      </c>
    </row>
    <row r="16" spans="1:8" ht="12" customHeight="1">
      <c r="A16" s="56"/>
      <c r="B16" s="4" t="s">
        <v>3</v>
      </c>
      <c r="C16" s="56" t="s">
        <v>47</v>
      </c>
      <c r="D16" s="5">
        <v>5900</v>
      </c>
      <c r="E16" s="6">
        <v>478</v>
      </c>
      <c r="F16" s="5">
        <f t="shared" ref="F16" si="0">E16*D16</f>
        <v>2820200</v>
      </c>
      <c r="G16" s="6">
        <v>956</v>
      </c>
      <c r="H16" s="5">
        <v>5640400</v>
      </c>
    </row>
    <row r="17" spans="1:8" ht="15">
      <c r="A17" s="7" t="s">
        <v>12</v>
      </c>
      <c r="B17" s="8" t="s">
        <v>36</v>
      </c>
      <c r="C17" s="7"/>
      <c r="D17" s="9"/>
      <c r="E17" s="10"/>
      <c r="F17" s="9">
        <f>SUM(F15:F16)</f>
        <v>2820200</v>
      </c>
      <c r="G17" s="6"/>
      <c r="H17" s="9">
        <f t="shared" ref="H17" si="1">SUM(H15:H16)</f>
        <v>9080400</v>
      </c>
    </row>
    <row r="18" spans="1:8" ht="12" customHeight="1">
      <c r="A18" s="56"/>
      <c r="B18" s="4" t="s">
        <v>107</v>
      </c>
      <c r="C18" s="56" t="s">
        <v>46</v>
      </c>
      <c r="D18" s="5">
        <v>160000</v>
      </c>
      <c r="E18" s="6">
        <v>286</v>
      </c>
      <c r="F18" s="5">
        <f t="shared" ref="F18" si="2">E18*D18</f>
        <v>45760000</v>
      </c>
      <c r="G18" s="6">
        <v>572</v>
      </c>
      <c r="H18" s="5">
        <v>91520000</v>
      </c>
    </row>
    <row r="19" spans="1:8" ht="15">
      <c r="A19" s="7" t="s">
        <v>13</v>
      </c>
      <c r="B19" s="8" t="s">
        <v>0</v>
      </c>
      <c r="C19" s="12"/>
      <c r="D19" s="9"/>
      <c r="E19" s="10"/>
      <c r="F19" s="9">
        <f>SUM(F18:F18)</f>
        <v>45760000</v>
      </c>
      <c r="G19" s="6"/>
      <c r="H19" s="9">
        <f>SUM(H18:H18)</f>
        <v>91520000</v>
      </c>
    </row>
    <row r="20" spans="1:8" ht="15">
      <c r="A20" s="7" t="s">
        <v>88</v>
      </c>
      <c r="B20" s="8" t="s">
        <v>112</v>
      </c>
      <c r="C20" s="7"/>
      <c r="D20" s="9"/>
      <c r="E20" s="10"/>
      <c r="F20" s="9">
        <f>F19+F17</f>
        <v>48580200</v>
      </c>
      <c r="G20" s="6"/>
      <c r="H20" s="9">
        <f t="shared" ref="H20" si="3">H19+H17</f>
        <v>100600400</v>
      </c>
    </row>
    <row r="21" spans="1:8" ht="12" customHeight="1">
      <c r="A21" s="36"/>
      <c r="B21" s="40" t="s">
        <v>84</v>
      </c>
      <c r="C21" s="36" t="s">
        <v>62</v>
      </c>
      <c r="D21" s="38">
        <v>215592</v>
      </c>
      <c r="E21" s="39"/>
      <c r="F21" s="38">
        <f t="shared" ref="F21:F24" si="4">E21*D21</f>
        <v>0</v>
      </c>
      <c r="G21" s="6">
        <v>3</v>
      </c>
      <c r="H21" s="38">
        <f t="shared" ref="H21:H24" si="5">G21*D21</f>
        <v>646776</v>
      </c>
    </row>
    <row r="22" spans="1:8" ht="12" customHeight="1">
      <c r="A22" s="36"/>
      <c r="B22" s="40" t="s">
        <v>63</v>
      </c>
      <c r="C22" s="36" t="s">
        <v>62</v>
      </c>
      <c r="D22" s="38">
        <v>275200</v>
      </c>
      <c r="E22" s="39"/>
      <c r="F22" s="38">
        <f t="shared" si="4"/>
        <v>0</v>
      </c>
      <c r="G22" s="6">
        <v>1</v>
      </c>
      <c r="H22" s="38">
        <f t="shared" si="5"/>
        <v>275200</v>
      </c>
    </row>
    <row r="23" spans="1:8" ht="12" customHeight="1">
      <c r="A23" s="36"/>
      <c r="B23" s="40" t="s">
        <v>64</v>
      </c>
      <c r="C23" s="36" t="s">
        <v>62</v>
      </c>
      <c r="D23" s="38">
        <v>444312</v>
      </c>
      <c r="E23" s="39"/>
      <c r="F23" s="38">
        <f t="shared" si="4"/>
        <v>0</v>
      </c>
      <c r="G23" s="6">
        <v>1</v>
      </c>
      <c r="H23" s="38">
        <f t="shared" si="5"/>
        <v>444312</v>
      </c>
    </row>
    <row r="24" spans="1:8" ht="12" customHeight="1">
      <c r="A24" s="36"/>
      <c r="B24" s="40" t="s">
        <v>65</v>
      </c>
      <c r="C24" s="36" t="s">
        <v>62</v>
      </c>
      <c r="D24" s="38">
        <v>275200</v>
      </c>
      <c r="E24" s="39"/>
      <c r="F24" s="39">
        <f t="shared" si="4"/>
        <v>0</v>
      </c>
      <c r="G24" s="6">
        <v>1</v>
      </c>
      <c r="H24" s="39">
        <f t="shared" si="5"/>
        <v>275200</v>
      </c>
    </row>
    <row r="25" spans="1:8" ht="15">
      <c r="A25" s="7" t="s">
        <v>14</v>
      </c>
      <c r="B25" s="8" t="s">
        <v>40</v>
      </c>
      <c r="C25" s="7"/>
      <c r="D25" s="9"/>
      <c r="E25" s="10"/>
      <c r="F25" s="9">
        <f>SUM(F21:F24)</f>
        <v>0</v>
      </c>
      <c r="G25" s="9"/>
      <c r="H25" s="9">
        <f>SUM(H21:H24)</f>
        <v>1641488</v>
      </c>
    </row>
    <row r="26" spans="1:8" ht="15">
      <c r="A26" s="7" t="s">
        <v>89</v>
      </c>
      <c r="B26" s="8" t="s">
        <v>113</v>
      </c>
      <c r="C26" s="7"/>
      <c r="D26" s="9"/>
      <c r="E26" s="10"/>
      <c r="F26" s="9">
        <f>F25</f>
        <v>0</v>
      </c>
      <c r="G26" s="9"/>
      <c r="H26" s="9">
        <f t="shared" ref="H26" si="6">H25</f>
        <v>1641488</v>
      </c>
    </row>
    <row r="27" spans="1:8" ht="15">
      <c r="A27" s="7" t="s">
        <v>18</v>
      </c>
      <c r="B27" s="8" t="s">
        <v>114</v>
      </c>
      <c r="C27" s="7"/>
      <c r="D27" s="9"/>
      <c r="E27" s="10"/>
      <c r="F27" s="9">
        <f>F26+F20</f>
        <v>48580200</v>
      </c>
      <c r="G27" s="9"/>
      <c r="H27" s="9">
        <f>H26+H20</f>
        <v>102241888</v>
      </c>
    </row>
    <row r="28" spans="1:8" ht="15">
      <c r="A28" s="7" t="s">
        <v>19</v>
      </c>
      <c r="B28" s="8" t="s">
        <v>11</v>
      </c>
      <c r="C28" s="7"/>
      <c r="D28" s="9"/>
      <c r="E28" s="10"/>
      <c r="F28" s="9">
        <f>F27*0.1</f>
        <v>4858020</v>
      </c>
      <c r="G28" s="9"/>
      <c r="H28" s="9">
        <f t="shared" ref="H28" si="7">H27*0.1</f>
        <v>10224188.800000001</v>
      </c>
    </row>
    <row r="29" spans="1:8" ht="15">
      <c r="A29" s="7" t="s">
        <v>90</v>
      </c>
      <c r="B29" s="8" t="s">
        <v>115</v>
      </c>
      <c r="C29" s="7"/>
      <c r="D29" s="9"/>
      <c r="E29" s="10"/>
      <c r="F29" s="9">
        <f>F27+F28</f>
        <v>53438220</v>
      </c>
      <c r="G29" s="9"/>
      <c r="H29" s="9">
        <f t="shared" ref="H29" si="8">H27+H28</f>
        <v>112466076.8</v>
      </c>
    </row>
    <row r="30" spans="1:8" ht="9.75" customHeight="1">
      <c r="A30" s="16"/>
      <c r="B30" s="17"/>
      <c r="C30" s="16"/>
      <c r="D30" s="18"/>
      <c r="E30" s="19"/>
      <c r="F30" s="18"/>
      <c r="G30" s="18"/>
      <c r="H30" s="18"/>
    </row>
    <row r="31" spans="1:8" ht="15">
      <c r="B31" s="2" t="s">
        <v>5</v>
      </c>
    </row>
    <row r="32" spans="1:8">
      <c r="B32" s="1" t="s">
        <v>66</v>
      </c>
      <c r="F32" s="126" t="s">
        <v>111</v>
      </c>
      <c r="G32" s="126"/>
    </row>
    <row r="33" spans="2:7">
      <c r="B33" s="1" t="s">
        <v>67</v>
      </c>
      <c r="F33" s="126" t="s">
        <v>73</v>
      </c>
      <c r="G33" s="126"/>
    </row>
    <row r="34" spans="2:7">
      <c r="B34" s="3" t="s">
        <v>71</v>
      </c>
      <c r="F34" s="126" t="s">
        <v>116</v>
      </c>
      <c r="G34" s="126"/>
    </row>
    <row r="35" spans="2:7" ht="3.75" customHeight="1"/>
    <row r="36" spans="2:7" ht="15">
      <c r="B36" s="2" t="s">
        <v>1</v>
      </c>
    </row>
    <row r="37" spans="2:7">
      <c r="B37" s="1" t="s">
        <v>35</v>
      </c>
      <c r="F37" s="1" t="s">
        <v>45</v>
      </c>
    </row>
    <row r="38" spans="2:7" ht="15">
      <c r="B38" s="2" t="s">
        <v>2</v>
      </c>
    </row>
    <row r="39" spans="2:7">
      <c r="B39" s="1" t="s">
        <v>34</v>
      </c>
      <c r="F39" s="126" t="s">
        <v>75</v>
      </c>
      <c r="G39" s="126"/>
    </row>
    <row r="40" spans="2:7" ht="5.25" customHeight="1">
      <c r="F40" s="54"/>
      <c r="G40" s="54"/>
    </row>
    <row r="41" spans="2:7">
      <c r="B41" s="1" t="s">
        <v>34</v>
      </c>
      <c r="F41" s="1" t="s">
        <v>44</v>
      </c>
    </row>
  </sheetData>
  <mergeCells count="18">
    <mergeCell ref="D7:G7"/>
    <mergeCell ref="A1:H1"/>
    <mergeCell ref="A2:H2"/>
    <mergeCell ref="A3:H3"/>
    <mergeCell ref="B5:H5"/>
    <mergeCell ref="B6:H6"/>
    <mergeCell ref="F32:G32"/>
    <mergeCell ref="F33:G33"/>
    <mergeCell ref="F34:G34"/>
    <mergeCell ref="F39:G39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>
      <c r="B1" s="127" t="s">
        <v>41</v>
      </c>
      <c r="C1" s="127"/>
      <c r="D1" s="127"/>
      <c r="E1" s="127"/>
      <c r="F1" s="127"/>
      <c r="G1" s="127"/>
      <c r="H1" s="127"/>
      <c r="I1" s="127"/>
    </row>
    <row r="2" spans="2:9">
      <c r="B2" s="127" t="s">
        <v>42</v>
      </c>
      <c r="C2" s="127"/>
      <c r="D2" s="127"/>
      <c r="E2" s="127"/>
      <c r="F2" s="127"/>
      <c r="G2" s="127"/>
      <c r="H2" s="127"/>
      <c r="I2" s="127"/>
    </row>
    <row r="3" spans="2:9">
      <c r="B3" s="127" t="s">
        <v>43</v>
      </c>
      <c r="C3" s="127"/>
      <c r="D3" s="127"/>
      <c r="E3" s="127"/>
      <c r="F3" s="127"/>
      <c r="G3" s="127"/>
      <c r="H3" s="127"/>
      <c r="I3" s="127"/>
    </row>
    <row r="4" spans="2:9" ht="5.25" customHeight="1"/>
    <row r="5" spans="2:9" ht="15">
      <c r="C5" s="132" t="s">
        <v>69</v>
      </c>
      <c r="D5" s="132"/>
      <c r="E5" s="132"/>
      <c r="F5" s="132"/>
      <c r="G5" s="132"/>
      <c r="H5" s="132"/>
      <c r="I5" s="132"/>
    </row>
    <row r="6" spans="2:9" ht="15">
      <c r="C6" s="132" t="s">
        <v>33</v>
      </c>
      <c r="D6" s="132"/>
      <c r="E6" s="132"/>
      <c r="F6" s="132"/>
      <c r="G6" s="132"/>
      <c r="H6" s="132"/>
      <c r="I6" s="132"/>
    </row>
    <row r="7" spans="2:9" ht="15">
      <c r="C7" s="60"/>
      <c r="D7" s="60"/>
      <c r="E7" s="133" t="s">
        <v>110</v>
      </c>
      <c r="F7" s="133"/>
      <c r="G7" s="133"/>
      <c r="H7" s="133"/>
    </row>
    <row r="8" spans="2:9">
      <c r="B8" s="127" t="s">
        <v>118</v>
      </c>
      <c r="C8" s="127"/>
      <c r="D8" s="127"/>
      <c r="E8" s="127"/>
      <c r="F8" s="127"/>
      <c r="G8" s="127"/>
      <c r="H8" s="127"/>
      <c r="I8" s="127"/>
    </row>
    <row r="9" spans="2:9" ht="5.25" customHeight="1">
      <c r="B9" s="59"/>
      <c r="C9" s="59"/>
      <c r="D9" s="59"/>
      <c r="E9" s="59"/>
      <c r="F9" s="59"/>
      <c r="G9" s="59"/>
      <c r="H9" s="59"/>
      <c r="I9" s="59"/>
    </row>
    <row r="10" spans="2:9">
      <c r="B10" s="127" t="s">
        <v>68</v>
      </c>
      <c r="C10" s="127"/>
      <c r="D10" s="127"/>
      <c r="E10" s="127"/>
      <c r="F10" s="127"/>
      <c r="G10" s="127"/>
      <c r="H10" s="127"/>
      <c r="I10" s="127"/>
    </row>
    <row r="11" spans="2:9" ht="3.75" customHeight="1"/>
    <row r="12" spans="2:9">
      <c r="B12" s="128" t="s">
        <v>32</v>
      </c>
      <c r="C12" s="128" t="s">
        <v>6</v>
      </c>
      <c r="D12" s="129" t="s">
        <v>28</v>
      </c>
      <c r="E12" s="129" t="s">
        <v>29</v>
      </c>
      <c r="F12" s="131" t="s">
        <v>30</v>
      </c>
      <c r="G12" s="131"/>
      <c r="H12" s="131" t="s">
        <v>31</v>
      </c>
      <c r="I12" s="131"/>
    </row>
    <row r="13" spans="2:9">
      <c r="B13" s="128"/>
      <c r="C13" s="128"/>
      <c r="D13" s="130"/>
      <c r="E13" s="130"/>
      <c r="F13" s="62" t="s">
        <v>7</v>
      </c>
      <c r="G13" s="62" t="s">
        <v>0</v>
      </c>
      <c r="H13" s="62" t="s">
        <v>7</v>
      </c>
      <c r="I13" s="62" t="s">
        <v>0</v>
      </c>
    </row>
    <row r="14" spans="2:9" ht="11.25" customHeight="1">
      <c r="B14" s="62">
        <v>0</v>
      </c>
      <c r="C14" s="62">
        <v>1</v>
      </c>
      <c r="D14" s="63">
        <v>2</v>
      </c>
      <c r="E14" s="63">
        <v>3</v>
      </c>
      <c r="F14" s="62">
        <v>4</v>
      </c>
      <c r="G14" s="62">
        <v>5</v>
      </c>
      <c r="H14" s="62">
        <v>6</v>
      </c>
      <c r="I14" s="62">
        <v>7</v>
      </c>
    </row>
    <row r="15" spans="2:9" ht="12" customHeight="1">
      <c r="B15" s="62"/>
      <c r="C15" s="4" t="s">
        <v>4</v>
      </c>
      <c r="D15" s="62" t="s">
        <v>46</v>
      </c>
      <c r="E15" s="5">
        <v>160000</v>
      </c>
      <c r="F15" s="72"/>
      <c r="G15" s="72">
        <f>F15*E15</f>
        <v>0</v>
      </c>
      <c r="H15" s="72">
        <v>21.5</v>
      </c>
      <c r="I15" s="72">
        <f>+H15*E15</f>
        <v>3440000</v>
      </c>
    </row>
    <row r="16" spans="2:9" ht="12" customHeight="1">
      <c r="B16" s="62"/>
      <c r="C16" s="4" t="s">
        <v>3</v>
      </c>
      <c r="D16" s="62" t="s">
        <v>47</v>
      </c>
      <c r="E16" s="5">
        <v>5900</v>
      </c>
      <c r="F16" s="72">
        <v>956.21</v>
      </c>
      <c r="G16" s="72">
        <f t="shared" ref="G16" si="0">F16*E16</f>
        <v>5641639</v>
      </c>
      <c r="H16" s="72">
        <v>1912.21</v>
      </c>
      <c r="I16" s="72">
        <f>+H16*E16</f>
        <v>11282039</v>
      </c>
    </row>
    <row r="17" spans="2:9" ht="15">
      <c r="B17" s="7" t="s">
        <v>12</v>
      </c>
      <c r="C17" s="8" t="s">
        <v>36</v>
      </c>
      <c r="D17" s="7"/>
      <c r="E17" s="9"/>
      <c r="F17" s="73"/>
      <c r="G17" s="73">
        <f>SUM(G15:G16)</f>
        <v>5641639</v>
      </c>
      <c r="H17" s="73"/>
      <c r="I17" s="73">
        <f>SUM(I15:I16)</f>
        <v>14722039</v>
      </c>
    </row>
    <row r="18" spans="2:9" ht="12" customHeight="1">
      <c r="B18" s="62"/>
      <c r="C18" s="4" t="s">
        <v>107</v>
      </c>
      <c r="D18" s="62" t="s">
        <v>46</v>
      </c>
      <c r="E18" s="5">
        <v>160000</v>
      </c>
      <c r="F18" s="72">
        <v>286</v>
      </c>
      <c r="G18" s="72">
        <f t="shared" ref="G18" si="1">F18*E18</f>
        <v>45760000</v>
      </c>
      <c r="H18" s="72">
        <v>858</v>
      </c>
      <c r="I18" s="72">
        <f>+H18*E18</f>
        <v>137280000</v>
      </c>
    </row>
    <row r="19" spans="2:9" ht="15">
      <c r="B19" s="7" t="s">
        <v>13</v>
      </c>
      <c r="C19" s="8" t="s">
        <v>0</v>
      </c>
      <c r="D19" s="12"/>
      <c r="E19" s="9"/>
      <c r="F19" s="73"/>
      <c r="G19" s="73">
        <f>SUM(G18:G18)</f>
        <v>45760000</v>
      </c>
      <c r="H19" s="73"/>
      <c r="I19" s="73">
        <f>SUM(I18:I18)</f>
        <v>137280000</v>
      </c>
    </row>
    <row r="20" spans="2:9" ht="15">
      <c r="B20" s="7" t="s">
        <v>88</v>
      </c>
      <c r="C20" s="8" t="s">
        <v>112</v>
      </c>
      <c r="D20" s="7"/>
      <c r="E20" s="9"/>
      <c r="F20" s="73"/>
      <c r="G20" s="73">
        <f>G19+G17</f>
        <v>51401639</v>
      </c>
      <c r="H20" s="73"/>
      <c r="I20" s="73">
        <f t="shared" ref="I20" si="2">I19+I17</f>
        <v>152002039</v>
      </c>
    </row>
    <row r="21" spans="2:9" ht="15">
      <c r="B21" s="65"/>
      <c r="C21" s="68" t="s">
        <v>119</v>
      </c>
      <c r="D21" s="69" t="s">
        <v>48</v>
      </c>
      <c r="E21" s="70">
        <v>45000</v>
      </c>
      <c r="F21" s="74">
        <v>1000.1555499999999</v>
      </c>
      <c r="G21" s="74">
        <f>+F21*E21</f>
        <v>45006999.75</v>
      </c>
      <c r="H21" s="74">
        <v>1000.1555499999999</v>
      </c>
      <c r="I21" s="74">
        <f>+H21*E21</f>
        <v>45006999.75</v>
      </c>
    </row>
    <row r="22" spans="2:9" ht="15">
      <c r="B22" s="65"/>
      <c r="C22" s="66" t="s">
        <v>120</v>
      </c>
      <c r="D22" s="65"/>
      <c r="E22" s="67"/>
      <c r="F22" s="75"/>
      <c r="G22" s="75">
        <f>+G21</f>
        <v>45006999.75</v>
      </c>
      <c r="H22" s="75"/>
      <c r="I22" s="75">
        <f>+I21</f>
        <v>45006999.75</v>
      </c>
    </row>
    <row r="23" spans="2:9" ht="15">
      <c r="B23" s="65"/>
      <c r="C23" s="68" t="s">
        <v>81</v>
      </c>
      <c r="D23" s="69" t="s">
        <v>52</v>
      </c>
      <c r="E23" s="70">
        <v>80000</v>
      </c>
      <c r="F23" s="74">
        <v>50</v>
      </c>
      <c r="G23" s="74">
        <f>+F23*E23</f>
        <v>4000000</v>
      </c>
      <c r="H23" s="74">
        <f>+F23</f>
        <v>50</v>
      </c>
      <c r="I23" s="74">
        <f>+G23</f>
        <v>4000000</v>
      </c>
    </row>
    <row r="24" spans="2:9" ht="15">
      <c r="B24" s="65"/>
      <c r="C24" s="68" t="s">
        <v>57</v>
      </c>
      <c r="D24" s="69" t="s">
        <v>121</v>
      </c>
      <c r="E24" s="70"/>
      <c r="F24" s="74"/>
      <c r="G24" s="74">
        <v>500000</v>
      </c>
      <c r="H24" s="74"/>
      <c r="I24" s="74">
        <f>+G24</f>
        <v>500000</v>
      </c>
    </row>
    <row r="25" spans="2:9" ht="12" customHeight="1">
      <c r="B25" s="36"/>
      <c r="C25" s="40" t="s">
        <v>84</v>
      </c>
      <c r="D25" s="36" t="s">
        <v>62</v>
      </c>
      <c r="E25" s="38">
        <v>215592</v>
      </c>
      <c r="F25" s="76"/>
      <c r="G25" s="76">
        <f t="shared" ref="G25:G28" si="3">F25*E25</f>
        <v>0</v>
      </c>
      <c r="H25" s="72">
        <v>3</v>
      </c>
      <c r="I25" s="76">
        <f>+H25*E25</f>
        <v>646776</v>
      </c>
    </row>
    <row r="26" spans="2:9" ht="12" customHeight="1">
      <c r="B26" s="36"/>
      <c r="C26" s="40" t="s">
        <v>63</v>
      </c>
      <c r="D26" s="36" t="s">
        <v>62</v>
      </c>
      <c r="E26" s="38">
        <v>275200</v>
      </c>
      <c r="F26" s="76"/>
      <c r="G26" s="76">
        <f t="shared" si="3"/>
        <v>0</v>
      </c>
      <c r="H26" s="72">
        <v>1</v>
      </c>
      <c r="I26" s="76">
        <f t="shared" ref="I26:I28" si="4">+H26*E26</f>
        <v>275200</v>
      </c>
    </row>
    <row r="27" spans="2:9" ht="12" customHeight="1">
      <c r="B27" s="36"/>
      <c r="C27" s="40" t="s">
        <v>64</v>
      </c>
      <c r="D27" s="36" t="s">
        <v>62</v>
      </c>
      <c r="E27" s="38">
        <v>444312</v>
      </c>
      <c r="F27" s="76"/>
      <c r="G27" s="76">
        <f t="shared" si="3"/>
        <v>0</v>
      </c>
      <c r="H27" s="72">
        <v>1</v>
      </c>
      <c r="I27" s="76">
        <f t="shared" si="4"/>
        <v>444312</v>
      </c>
    </row>
    <row r="28" spans="2:9" ht="12" customHeight="1">
      <c r="B28" s="36"/>
      <c r="C28" s="40" t="s">
        <v>65</v>
      </c>
      <c r="D28" s="36" t="s">
        <v>62</v>
      </c>
      <c r="E28" s="38">
        <v>275200</v>
      </c>
      <c r="F28" s="76"/>
      <c r="G28" s="76">
        <f t="shared" si="3"/>
        <v>0</v>
      </c>
      <c r="H28" s="72">
        <v>1</v>
      </c>
      <c r="I28" s="76">
        <f t="shared" si="4"/>
        <v>275200</v>
      </c>
    </row>
    <row r="29" spans="2:9" ht="15">
      <c r="B29" s="7" t="s">
        <v>14</v>
      </c>
      <c r="C29" s="8" t="s">
        <v>40</v>
      </c>
      <c r="D29" s="7"/>
      <c r="E29" s="9"/>
      <c r="F29" s="73"/>
      <c r="G29" s="73">
        <f>SUM(G23:G28)</f>
        <v>4500000</v>
      </c>
      <c r="H29" s="73"/>
      <c r="I29" s="73">
        <f>SUM(I23:I28)</f>
        <v>6141488</v>
      </c>
    </row>
    <row r="30" spans="2:9" ht="15">
      <c r="B30" s="7" t="s">
        <v>89</v>
      </c>
      <c r="C30" s="8" t="s">
        <v>113</v>
      </c>
      <c r="D30" s="7"/>
      <c r="E30" s="9"/>
      <c r="F30" s="73"/>
      <c r="G30" s="73">
        <f>+G29+G22</f>
        <v>49506999.75</v>
      </c>
      <c r="H30" s="73"/>
      <c r="I30" s="73">
        <f>I29+I22</f>
        <v>51148487.75</v>
      </c>
    </row>
    <row r="31" spans="2:9" ht="15">
      <c r="B31" s="7" t="s">
        <v>18</v>
      </c>
      <c r="C31" s="8" t="s">
        <v>114</v>
      </c>
      <c r="D31" s="7"/>
      <c r="E31" s="9"/>
      <c r="F31" s="73"/>
      <c r="G31" s="73">
        <f>G30+G20</f>
        <v>100908638.75</v>
      </c>
      <c r="H31" s="73"/>
      <c r="I31" s="73">
        <f>I30+I20</f>
        <v>203150526.75</v>
      </c>
    </row>
    <row r="32" spans="2:9" ht="15">
      <c r="B32" s="7" t="s">
        <v>19</v>
      </c>
      <c r="C32" s="8" t="s">
        <v>11</v>
      </c>
      <c r="D32" s="7"/>
      <c r="E32" s="9"/>
      <c r="F32" s="73"/>
      <c r="G32" s="73">
        <f>G31*0.1</f>
        <v>10090863.875</v>
      </c>
      <c r="H32" s="73"/>
      <c r="I32" s="73">
        <f t="shared" ref="I32" si="5">I31*0.1</f>
        <v>20315052.675000001</v>
      </c>
    </row>
    <row r="33" spans="2:9" ht="15">
      <c r="B33" s="7" t="s">
        <v>90</v>
      </c>
      <c r="C33" s="8" t="s">
        <v>115</v>
      </c>
      <c r="D33" s="7"/>
      <c r="E33" s="9"/>
      <c r="F33" s="10"/>
      <c r="G33" s="71">
        <f>G31+G32</f>
        <v>110999502.625</v>
      </c>
      <c r="H33" s="9"/>
      <c r="I33" s="71">
        <f t="shared" ref="I33" si="6">I31+I32</f>
        <v>223465579.42500001</v>
      </c>
    </row>
    <row r="34" spans="2:9" ht="9.75" customHeight="1">
      <c r="B34" s="16"/>
      <c r="C34" s="17"/>
      <c r="D34" s="16"/>
      <c r="E34" s="18"/>
      <c r="F34" s="19"/>
      <c r="G34" s="18"/>
      <c r="H34" s="18"/>
      <c r="I34" s="18"/>
    </row>
    <row r="35" spans="2:9" ht="15">
      <c r="C35" s="2" t="s">
        <v>5</v>
      </c>
    </row>
    <row r="36" spans="2:9">
      <c r="C36" s="1" t="s">
        <v>66</v>
      </c>
      <c r="G36" s="126" t="s">
        <v>111</v>
      </c>
      <c r="H36" s="126"/>
    </row>
    <row r="37" spans="2:9">
      <c r="C37" s="1" t="s">
        <v>67</v>
      </c>
      <c r="G37" s="126" t="s">
        <v>73</v>
      </c>
      <c r="H37" s="126"/>
    </row>
    <row r="38" spans="2:9">
      <c r="C38" s="3" t="s">
        <v>71</v>
      </c>
      <c r="G38" s="126" t="s">
        <v>116</v>
      </c>
      <c r="H38" s="126"/>
    </row>
    <row r="39" spans="2:9" ht="3.75" customHeight="1"/>
    <row r="40" spans="2:9" ht="15">
      <c r="C40" s="2" t="s">
        <v>1</v>
      </c>
    </row>
    <row r="41" spans="2:9">
      <c r="C41" s="1" t="s">
        <v>35</v>
      </c>
      <c r="G41" s="1" t="s">
        <v>45</v>
      </c>
    </row>
    <row r="42" spans="2:9" ht="15">
      <c r="C42" s="2" t="s">
        <v>2</v>
      </c>
    </row>
    <row r="43" spans="2:9">
      <c r="C43" s="1" t="s">
        <v>34</v>
      </c>
      <c r="G43" s="126" t="s">
        <v>75</v>
      </c>
      <c r="H43" s="126"/>
    </row>
    <row r="44" spans="2:9" ht="5.25" customHeight="1">
      <c r="G44" s="61"/>
      <c r="H44" s="61"/>
    </row>
    <row r="45" spans="2:9">
      <c r="C45" s="1" t="s">
        <v>34</v>
      </c>
      <c r="G45" s="1" t="s">
        <v>44</v>
      </c>
    </row>
  </sheetData>
  <mergeCells count="18">
    <mergeCell ref="G36:H36"/>
    <mergeCell ref="G37:H37"/>
    <mergeCell ref="G38:H38"/>
    <mergeCell ref="G43:H43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9055118110236221" right="0.70866141732283472" top="0.74803149606299213" bottom="0.74803149606299213" header="0.39370078740157483" footer="0.3937007874015748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5" width="11.125" style="1" customWidth="1"/>
    <col min="6" max="6" width="12.25" style="1" customWidth="1"/>
    <col min="7" max="7" width="16.375" style="1" customWidth="1"/>
    <col min="8" max="8" width="12.875" style="1" customWidth="1"/>
    <col min="9" max="9" width="18.875" style="1" customWidth="1"/>
    <col min="10" max="10" width="14" style="1" customWidth="1"/>
    <col min="11" max="16384" width="9" style="1"/>
  </cols>
  <sheetData>
    <row r="1" spans="2:9" ht="10.5" customHeight="1">
      <c r="B1" s="135" t="s">
        <v>41</v>
      </c>
      <c r="C1" s="135"/>
      <c r="D1" s="135"/>
      <c r="E1" s="135"/>
      <c r="F1" s="135"/>
      <c r="G1" s="135"/>
      <c r="H1" s="135"/>
      <c r="I1" s="135"/>
    </row>
    <row r="2" spans="2:9" ht="10.5" customHeight="1">
      <c r="B2" s="135" t="s">
        <v>42</v>
      </c>
      <c r="C2" s="135"/>
      <c r="D2" s="135"/>
      <c r="E2" s="135"/>
      <c r="F2" s="135"/>
      <c r="G2" s="135"/>
      <c r="H2" s="135"/>
      <c r="I2" s="135"/>
    </row>
    <row r="3" spans="2:9" ht="10.5" customHeight="1">
      <c r="B3" s="135" t="s">
        <v>43</v>
      </c>
      <c r="C3" s="135"/>
      <c r="D3" s="135"/>
      <c r="E3" s="135"/>
      <c r="F3" s="135"/>
      <c r="G3" s="135"/>
      <c r="H3" s="135"/>
      <c r="I3" s="135"/>
    </row>
    <row r="4" spans="2:9" ht="5.25" customHeight="1"/>
    <row r="5" spans="2:9" ht="12" customHeight="1">
      <c r="B5" s="78"/>
      <c r="C5" s="136" t="s">
        <v>69</v>
      </c>
      <c r="D5" s="136"/>
      <c r="E5" s="136"/>
      <c r="F5" s="136"/>
      <c r="G5" s="136"/>
      <c r="H5" s="136"/>
      <c r="I5" s="136"/>
    </row>
    <row r="6" spans="2:9" ht="12" customHeight="1">
      <c r="B6" s="78"/>
      <c r="C6" s="136" t="s">
        <v>33</v>
      </c>
      <c r="D6" s="136"/>
      <c r="E6" s="136"/>
      <c r="F6" s="136"/>
      <c r="G6" s="136"/>
      <c r="H6" s="136"/>
      <c r="I6" s="136"/>
    </row>
    <row r="7" spans="2:9" ht="12" customHeight="1">
      <c r="B7" s="78"/>
      <c r="C7" s="79"/>
      <c r="D7" s="79"/>
      <c r="E7" s="134" t="s">
        <v>110</v>
      </c>
      <c r="F7" s="134"/>
      <c r="G7" s="134"/>
      <c r="H7" s="134"/>
      <c r="I7" s="80"/>
    </row>
    <row r="8" spans="2:9" ht="12" customHeight="1">
      <c r="B8" s="135" t="s">
        <v>122</v>
      </c>
      <c r="C8" s="135"/>
      <c r="D8" s="135"/>
      <c r="E8" s="135"/>
      <c r="F8" s="135"/>
      <c r="G8" s="135"/>
      <c r="H8" s="135"/>
      <c r="I8" s="135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35" t="s">
        <v>123</v>
      </c>
      <c r="C10" s="135"/>
      <c r="D10" s="135"/>
      <c r="E10" s="135"/>
      <c r="F10" s="135"/>
      <c r="G10" s="135"/>
      <c r="H10" s="135"/>
      <c r="I10" s="135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37" t="s">
        <v>32</v>
      </c>
      <c r="C12" s="137" t="s">
        <v>6</v>
      </c>
      <c r="D12" s="138" t="s">
        <v>28</v>
      </c>
      <c r="E12" s="138" t="s">
        <v>29</v>
      </c>
      <c r="F12" s="140" t="s">
        <v>30</v>
      </c>
      <c r="G12" s="140"/>
      <c r="H12" s="140" t="s">
        <v>31</v>
      </c>
      <c r="I12" s="140"/>
    </row>
    <row r="13" spans="2:9" ht="12" customHeight="1">
      <c r="B13" s="137"/>
      <c r="C13" s="137"/>
      <c r="D13" s="139"/>
      <c r="E13" s="139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86"/>
      <c r="G15" s="86">
        <f>F15*E15</f>
        <v>0</v>
      </c>
      <c r="H15" s="86">
        <v>21.5</v>
      </c>
      <c r="I15" s="86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86"/>
      <c r="G16" s="86">
        <f t="shared" ref="G16" si="0">F16*E16</f>
        <v>0</v>
      </c>
      <c r="H16" s="86">
        <v>1912.21</v>
      </c>
      <c r="I16" s="86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90"/>
      <c r="G17" s="90">
        <f>SUM(G15:G16)</f>
        <v>0</v>
      </c>
      <c r="H17" s="90"/>
      <c r="I17" s="90">
        <f>SUM(I15:I16)</f>
        <v>14722039</v>
      </c>
    </row>
    <row r="18" spans="2:9" ht="12" customHeight="1">
      <c r="B18" s="91"/>
      <c r="C18" s="92" t="s">
        <v>124</v>
      </c>
      <c r="D18" s="93" t="s">
        <v>51</v>
      </c>
      <c r="E18" s="94">
        <v>2100</v>
      </c>
      <c r="F18" s="95">
        <v>5000</v>
      </c>
      <c r="G18" s="96">
        <f>+F18*E18</f>
        <v>10500000</v>
      </c>
      <c r="H18" s="95">
        <v>5000</v>
      </c>
      <c r="I18" s="96">
        <v>10500000</v>
      </c>
    </row>
    <row r="19" spans="2:9" ht="12" customHeight="1">
      <c r="B19" s="87"/>
      <c r="C19" s="88" t="s">
        <v>39</v>
      </c>
      <c r="D19" s="87"/>
      <c r="E19" s="89"/>
      <c r="F19" s="97"/>
      <c r="G19" s="98">
        <f t="shared" ref="G19:I19" si="1">+G18</f>
        <v>10500000</v>
      </c>
      <c r="H19" s="97"/>
      <c r="I19" s="98">
        <f t="shared" si="1"/>
        <v>10500000</v>
      </c>
    </row>
    <row r="20" spans="2:9" ht="12" customHeight="1">
      <c r="B20" s="91"/>
      <c r="C20" s="92" t="s">
        <v>125</v>
      </c>
      <c r="D20" s="82" t="s">
        <v>46</v>
      </c>
      <c r="E20" s="94">
        <v>25000</v>
      </c>
      <c r="F20" s="99">
        <v>33</v>
      </c>
      <c r="G20" s="100">
        <f>+F20*E20</f>
        <v>825000</v>
      </c>
      <c r="H20" s="99">
        <v>33</v>
      </c>
      <c r="I20" s="100">
        <v>825000</v>
      </c>
    </row>
    <row r="21" spans="2:9" ht="12" customHeight="1">
      <c r="B21" s="82"/>
      <c r="C21" s="84" t="s">
        <v>107</v>
      </c>
      <c r="D21" s="82" t="s">
        <v>46</v>
      </c>
      <c r="E21" s="85">
        <v>160000</v>
      </c>
      <c r="F21" s="101">
        <v>286</v>
      </c>
      <c r="G21" s="86">
        <f t="shared" ref="G21" si="2">F21*E21</f>
        <v>45760000</v>
      </c>
      <c r="H21" s="101">
        <v>1144</v>
      </c>
      <c r="I21" s="86">
        <f>+H21*E21</f>
        <v>183040000</v>
      </c>
    </row>
    <row r="22" spans="2:9" ht="12" customHeight="1">
      <c r="B22" s="87" t="s">
        <v>13</v>
      </c>
      <c r="C22" s="88" t="s">
        <v>0</v>
      </c>
      <c r="D22" s="102"/>
      <c r="E22" s="89"/>
      <c r="F22" s="103"/>
      <c r="G22" s="90">
        <f>+G21+G20</f>
        <v>46585000</v>
      </c>
      <c r="H22" s="90"/>
      <c r="I22" s="90">
        <f t="shared" ref="I22" si="3">+I21+I20</f>
        <v>183865000</v>
      </c>
    </row>
    <row r="23" spans="2:9" ht="12" customHeight="1">
      <c r="B23" s="87" t="s">
        <v>88</v>
      </c>
      <c r="C23" s="88" t="s">
        <v>112</v>
      </c>
      <c r="D23" s="87"/>
      <c r="E23" s="89"/>
      <c r="F23" s="103"/>
      <c r="G23" s="90">
        <f>+G22+G19+G17</f>
        <v>57085000</v>
      </c>
      <c r="H23" s="90"/>
      <c r="I23" s="90">
        <f>+I22+I19+I17</f>
        <v>209087039</v>
      </c>
    </row>
    <row r="24" spans="2:9" ht="12" customHeight="1">
      <c r="B24" s="91"/>
      <c r="C24" s="92" t="s">
        <v>119</v>
      </c>
      <c r="D24" s="93" t="s">
        <v>48</v>
      </c>
      <c r="E24" s="94">
        <v>45000</v>
      </c>
      <c r="F24" s="95">
        <v>250</v>
      </c>
      <c r="G24" s="96">
        <f>+F24*E24</f>
        <v>11250000</v>
      </c>
      <c r="H24" s="96">
        <v>1250.1555499999999</v>
      </c>
      <c r="I24" s="104">
        <f>+H24*E24</f>
        <v>56256999.75</v>
      </c>
    </row>
    <row r="25" spans="2:9" ht="12" customHeight="1">
      <c r="B25" s="91"/>
      <c r="C25" s="105" t="s">
        <v>120</v>
      </c>
      <c r="D25" s="91"/>
      <c r="E25" s="106"/>
      <c r="F25" s="107"/>
      <c r="G25" s="108">
        <f>+G24</f>
        <v>11250000</v>
      </c>
      <c r="H25" s="108"/>
      <c r="I25" s="108">
        <f>+I24</f>
        <v>56256999.75</v>
      </c>
    </row>
    <row r="26" spans="2:9" ht="12" customHeight="1">
      <c r="B26" s="91"/>
      <c r="C26" s="92" t="s">
        <v>81</v>
      </c>
      <c r="D26" s="93" t="s">
        <v>52</v>
      </c>
      <c r="E26" s="94">
        <v>80000</v>
      </c>
      <c r="F26" s="95"/>
      <c r="G26" s="96">
        <f>+F26*E26</f>
        <v>0</v>
      </c>
      <c r="H26" s="95">
        <v>50</v>
      </c>
      <c r="I26" s="96">
        <f>+H26*E26</f>
        <v>4000000</v>
      </c>
    </row>
    <row r="27" spans="2:9" ht="12" customHeight="1">
      <c r="B27" s="91"/>
      <c r="C27" s="92" t="s">
        <v>57</v>
      </c>
      <c r="D27" s="93" t="s">
        <v>121</v>
      </c>
      <c r="E27" s="94"/>
      <c r="F27" s="95"/>
      <c r="G27" s="96"/>
      <c r="H27" s="95"/>
      <c r="I27" s="96">
        <v>500000</v>
      </c>
    </row>
    <row r="28" spans="2:9" ht="12" customHeight="1">
      <c r="B28" s="91"/>
      <c r="C28" s="92" t="s">
        <v>59</v>
      </c>
      <c r="D28" s="93" t="s">
        <v>46</v>
      </c>
      <c r="E28" s="94">
        <v>80000</v>
      </c>
      <c r="F28" s="95">
        <v>18</v>
      </c>
      <c r="G28" s="96">
        <f>+F28*E28</f>
        <v>1440000</v>
      </c>
      <c r="H28" s="95">
        <v>18</v>
      </c>
      <c r="I28" s="96">
        <v>1440000</v>
      </c>
    </row>
    <row r="29" spans="2:9" ht="12" customHeight="1">
      <c r="B29" s="91"/>
      <c r="C29" s="92" t="s">
        <v>126</v>
      </c>
      <c r="D29" s="93" t="s">
        <v>62</v>
      </c>
      <c r="E29" s="94">
        <v>25000</v>
      </c>
      <c r="F29" s="95">
        <v>1000</v>
      </c>
      <c r="G29" s="96">
        <f>+F29*E29</f>
        <v>25000000</v>
      </c>
      <c r="H29" s="95">
        <v>1000</v>
      </c>
      <c r="I29" s="96">
        <v>25000000</v>
      </c>
    </row>
    <row r="30" spans="2:9" ht="12" customHeight="1">
      <c r="B30" s="82"/>
      <c r="C30" s="109" t="s">
        <v>84</v>
      </c>
      <c r="D30" s="82" t="s">
        <v>62</v>
      </c>
      <c r="E30" s="85">
        <v>215592</v>
      </c>
      <c r="F30" s="86"/>
      <c r="G30" s="86">
        <f t="shared" ref="G30:G33" si="4">F30*E30</f>
        <v>0</v>
      </c>
      <c r="H30" s="101">
        <v>3</v>
      </c>
      <c r="I30" s="86">
        <f>+H30*E30</f>
        <v>646776</v>
      </c>
    </row>
    <row r="31" spans="2:9" ht="12" customHeight="1">
      <c r="B31" s="82"/>
      <c r="C31" s="109" t="s">
        <v>63</v>
      </c>
      <c r="D31" s="82" t="s">
        <v>62</v>
      </c>
      <c r="E31" s="85">
        <v>275200</v>
      </c>
      <c r="F31" s="86"/>
      <c r="G31" s="86">
        <f t="shared" si="4"/>
        <v>0</v>
      </c>
      <c r="H31" s="101">
        <v>1</v>
      </c>
      <c r="I31" s="86">
        <f t="shared" ref="I31:I33" si="5">+H31*E31</f>
        <v>275200</v>
      </c>
    </row>
    <row r="32" spans="2:9" ht="12" customHeight="1">
      <c r="B32" s="82"/>
      <c r="C32" s="109" t="s">
        <v>64</v>
      </c>
      <c r="D32" s="82" t="s">
        <v>62</v>
      </c>
      <c r="E32" s="85">
        <v>444312</v>
      </c>
      <c r="F32" s="86"/>
      <c r="G32" s="86">
        <f t="shared" si="4"/>
        <v>0</v>
      </c>
      <c r="H32" s="101">
        <v>1</v>
      </c>
      <c r="I32" s="86">
        <f t="shared" si="5"/>
        <v>444312</v>
      </c>
    </row>
    <row r="33" spans="2:9" ht="12" customHeight="1">
      <c r="B33" s="82"/>
      <c r="C33" s="109" t="s">
        <v>65</v>
      </c>
      <c r="D33" s="82" t="s">
        <v>62</v>
      </c>
      <c r="E33" s="85">
        <v>275200</v>
      </c>
      <c r="F33" s="86"/>
      <c r="G33" s="86">
        <f t="shared" si="4"/>
        <v>0</v>
      </c>
      <c r="H33" s="101">
        <v>1</v>
      </c>
      <c r="I33" s="86">
        <f t="shared" si="5"/>
        <v>275200</v>
      </c>
    </row>
    <row r="34" spans="2:9" ht="12" customHeight="1">
      <c r="B34" s="87" t="s">
        <v>14</v>
      </c>
      <c r="C34" s="88" t="s">
        <v>40</v>
      </c>
      <c r="D34" s="87"/>
      <c r="E34" s="89"/>
      <c r="F34" s="90"/>
      <c r="G34" s="90">
        <f>SUM(G26:G33)</f>
        <v>26440000</v>
      </c>
      <c r="H34" s="90"/>
      <c r="I34" s="90">
        <f>SUM(I26:I33)</f>
        <v>32581488</v>
      </c>
    </row>
    <row r="35" spans="2:9" ht="12" customHeight="1">
      <c r="B35" s="87" t="s">
        <v>89</v>
      </c>
      <c r="C35" s="88" t="s">
        <v>113</v>
      </c>
      <c r="D35" s="87"/>
      <c r="E35" s="89"/>
      <c r="F35" s="90"/>
      <c r="G35" s="90">
        <f>+G34+G25</f>
        <v>37690000</v>
      </c>
      <c r="H35" s="90"/>
      <c r="I35" s="90">
        <f>I34+I25</f>
        <v>88838487.75</v>
      </c>
    </row>
    <row r="36" spans="2:9" ht="12" customHeight="1">
      <c r="B36" s="87" t="s">
        <v>18</v>
      </c>
      <c r="C36" s="88" t="s">
        <v>114</v>
      </c>
      <c r="D36" s="87"/>
      <c r="E36" s="89"/>
      <c r="F36" s="90"/>
      <c r="G36" s="90">
        <f>G35+G23</f>
        <v>94775000</v>
      </c>
      <c r="H36" s="90"/>
      <c r="I36" s="90">
        <f>I35+I23</f>
        <v>297925526.75</v>
      </c>
    </row>
    <row r="37" spans="2:9" ht="12" customHeight="1">
      <c r="B37" s="87" t="s">
        <v>19</v>
      </c>
      <c r="C37" s="88" t="s">
        <v>11</v>
      </c>
      <c r="D37" s="87"/>
      <c r="E37" s="89"/>
      <c r="F37" s="90"/>
      <c r="G37" s="90">
        <f>G36*0.1</f>
        <v>9477500</v>
      </c>
      <c r="H37" s="90"/>
      <c r="I37" s="90">
        <f t="shared" ref="I37" si="6">I36*0.1</f>
        <v>29792552.675000001</v>
      </c>
    </row>
    <row r="38" spans="2:9" ht="12" customHeight="1">
      <c r="B38" s="87" t="s">
        <v>90</v>
      </c>
      <c r="C38" s="88" t="s">
        <v>115</v>
      </c>
      <c r="D38" s="87"/>
      <c r="E38" s="89"/>
      <c r="F38" s="110"/>
      <c r="G38" s="111">
        <f>G36+G37</f>
        <v>104252500</v>
      </c>
      <c r="H38" s="89"/>
      <c r="I38" s="98">
        <f t="shared" ref="I38" si="7">I36+I37</f>
        <v>327718079.42500001</v>
      </c>
    </row>
    <row r="39" spans="2:9" ht="9.75" customHeight="1">
      <c r="B39" s="16"/>
      <c r="C39" s="17"/>
      <c r="D39" s="16"/>
      <c r="E39" s="18"/>
      <c r="F39" s="19"/>
      <c r="G39" s="18"/>
      <c r="H39" s="18"/>
      <c r="I39" s="18"/>
    </row>
    <row r="40" spans="2:9" ht="15">
      <c r="C40" s="2" t="s">
        <v>5</v>
      </c>
    </row>
    <row r="41" spans="2:9">
      <c r="C41" s="1" t="s">
        <v>66</v>
      </c>
      <c r="G41" s="126" t="s">
        <v>111</v>
      </c>
      <c r="H41" s="126"/>
    </row>
    <row r="42" spans="2:9">
      <c r="C42" s="1" t="s">
        <v>67</v>
      </c>
      <c r="G42" s="126" t="s">
        <v>73</v>
      </c>
      <c r="H42" s="126"/>
    </row>
    <row r="43" spans="2:9">
      <c r="C43" s="3" t="s">
        <v>71</v>
      </c>
      <c r="G43" s="126" t="s">
        <v>116</v>
      </c>
      <c r="H43" s="126"/>
    </row>
    <row r="44" spans="2:9" ht="3.75" customHeight="1"/>
    <row r="45" spans="2:9" ht="12.75" customHeight="1">
      <c r="C45" s="2" t="s">
        <v>1</v>
      </c>
    </row>
    <row r="46" spans="2:9" ht="13.5" customHeight="1">
      <c r="C46" s="1" t="s">
        <v>35</v>
      </c>
      <c r="G46" s="1" t="s">
        <v>45</v>
      </c>
    </row>
    <row r="47" spans="2:9" ht="15">
      <c r="C47" s="2" t="s">
        <v>2</v>
      </c>
    </row>
    <row r="48" spans="2:9" ht="12.75" customHeight="1">
      <c r="C48" s="1" t="s">
        <v>34</v>
      </c>
      <c r="G48" s="126" t="s">
        <v>75</v>
      </c>
      <c r="H48" s="126"/>
    </row>
    <row r="49" spans="3:8" ht="3" customHeight="1">
      <c r="G49" s="64"/>
      <c r="H49" s="64"/>
    </row>
    <row r="50" spans="3:8">
      <c r="C50" s="1" t="s">
        <v>34</v>
      </c>
      <c r="G50" s="1" t="s">
        <v>44</v>
      </c>
    </row>
  </sheetData>
  <mergeCells count="18">
    <mergeCell ref="G41:H41"/>
    <mergeCell ref="G42:H42"/>
    <mergeCell ref="G43:H43"/>
    <mergeCell ref="G48:H48"/>
    <mergeCell ref="B8:I8"/>
    <mergeCell ref="B10:I10"/>
    <mergeCell ref="B12:B13"/>
    <mergeCell ref="C12:C13"/>
    <mergeCell ref="D12:D13"/>
    <mergeCell ref="E12:E13"/>
    <mergeCell ref="F12:G12"/>
    <mergeCell ref="H12:I12"/>
    <mergeCell ref="E7:H7"/>
    <mergeCell ref="B1:I1"/>
    <mergeCell ref="B2:I2"/>
    <mergeCell ref="B3:I3"/>
    <mergeCell ref="C5:I5"/>
    <mergeCell ref="C6:I6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opLeftCell="B4" workbookViewId="0">
      <selection activeCell="B1" sqref="A1:XFD1048576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35" t="s">
        <v>41</v>
      </c>
      <c r="C1" s="135"/>
      <c r="D1" s="135"/>
      <c r="E1" s="135"/>
      <c r="F1" s="135"/>
      <c r="G1" s="135"/>
      <c r="H1" s="135"/>
      <c r="I1" s="135"/>
    </row>
    <row r="2" spans="2:9" ht="10.5" customHeight="1">
      <c r="B2" s="135" t="s">
        <v>42</v>
      </c>
      <c r="C2" s="135"/>
      <c r="D2" s="135"/>
      <c r="E2" s="135"/>
      <c r="F2" s="135"/>
      <c r="G2" s="135"/>
      <c r="H2" s="135"/>
      <c r="I2" s="135"/>
    </row>
    <row r="3" spans="2:9" ht="10.5" customHeight="1">
      <c r="B3" s="135" t="s">
        <v>43</v>
      </c>
      <c r="C3" s="135"/>
      <c r="D3" s="135"/>
      <c r="E3" s="135"/>
      <c r="F3" s="135"/>
      <c r="G3" s="135"/>
      <c r="H3" s="135"/>
      <c r="I3" s="135"/>
    </row>
    <row r="4" spans="2:9" ht="5.25" customHeight="1"/>
    <row r="5" spans="2:9" ht="12" customHeight="1">
      <c r="B5" s="78"/>
      <c r="C5" s="136" t="s">
        <v>69</v>
      </c>
      <c r="D5" s="136"/>
      <c r="E5" s="136"/>
      <c r="F5" s="136"/>
      <c r="G5" s="136"/>
      <c r="H5" s="136"/>
      <c r="I5" s="136"/>
    </row>
    <row r="6" spans="2:9" ht="12" customHeight="1">
      <c r="B6" s="78"/>
      <c r="C6" s="136" t="s">
        <v>33</v>
      </c>
      <c r="D6" s="136"/>
      <c r="E6" s="136"/>
      <c r="F6" s="136"/>
      <c r="G6" s="136"/>
      <c r="H6" s="136"/>
      <c r="I6" s="136"/>
    </row>
    <row r="7" spans="2:9" ht="12" customHeight="1">
      <c r="B7" s="78"/>
      <c r="C7" s="79"/>
      <c r="D7" s="79"/>
      <c r="E7" s="143" t="s">
        <v>110</v>
      </c>
      <c r="F7" s="143"/>
      <c r="G7" s="143"/>
      <c r="H7" s="143"/>
      <c r="I7" s="80"/>
    </row>
    <row r="8" spans="2:9" ht="12" customHeight="1">
      <c r="B8" s="141" t="s">
        <v>143</v>
      </c>
      <c r="C8" s="141"/>
      <c r="D8" s="141"/>
      <c r="E8" s="141"/>
      <c r="F8" s="141"/>
      <c r="G8" s="141"/>
      <c r="H8" s="141"/>
      <c r="I8" s="141"/>
    </row>
    <row r="9" spans="2:9" ht="3.75" customHeight="1">
      <c r="B9" s="81"/>
      <c r="C9" s="81"/>
      <c r="D9" s="81"/>
      <c r="E9" s="81"/>
      <c r="F9" s="81"/>
      <c r="G9" s="81"/>
      <c r="H9" s="81"/>
      <c r="I9" s="81"/>
    </row>
    <row r="10" spans="2:9" ht="12" customHeight="1">
      <c r="B10" s="142" t="s">
        <v>123</v>
      </c>
      <c r="C10" s="142"/>
      <c r="D10" s="142"/>
      <c r="E10" s="142"/>
      <c r="F10" s="142"/>
      <c r="G10" s="142"/>
      <c r="H10" s="142"/>
      <c r="I10" s="142"/>
    </row>
    <row r="11" spans="2:9" ht="3" customHeight="1">
      <c r="B11" s="78"/>
      <c r="C11" s="80"/>
      <c r="D11" s="80"/>
      <c r="E11" s="80"/>
      <c r="F11" s="80"/>
      <c r="G11" s="80"/>
      <c r="H11" s="80"/>
      <c r="I11" s="80"/>
    </row>
    <row r="12" spans="2:9" ht="12" customHeight="1">
      <c r="B12" s="137" t="s">
        <v>32</v>
      </c>
      <c r="C12" s="137" t="s">
        <v>6</v>
      </c>
      <c r="D12" s="138" t="s">
        <v>28</v>
      </c>
      <c r="E12" s="138" t="s">
        <v>29</v>
      </c>
      <c r="F12" s="140" t="s">
        <v>30</v>
      </c>
      <c r="G12" s="140"/>
      <c r="H12" s="140" t="s">
        <v>31</v>
      </c>
      <c r="I12" s="140"/>
    </row>
    <row r="13" spans="2:9" ht="12" customHeight="1">
      <c r="B13" s="137"/>
      <c r="C13" s="137"/>
      <c r="D13" s="139"/>
      <c r="E13" s="139"/>
      <c r="F13" s="82" t="s">
        <v>7</v>
      </c>
      <c r="G13" s="82" t="s">
        <v>0</v>
      </c>
      <c r="H13" s="82" t="s">
        <v>7</v>
      </c>
      <c r="I13" s="82" t="s">
        <v>0</v>
      </c>
    </row>
    <row r="14" spans="2:9" ht="12" customHeight="1">
      <c r="B14" s="82">
        <v>0</v>
      </c>
      <c r="C14" s="82">
        <v>1</v>
      </c>
      <c r="D14" s="83">
        <v>2</v>
      </c>
      <c r="E14" s="83">
        <v>3</v>
      </c>
      <c r="F14" s="82">
        <v>4</v>
      </c>
      <c r="G14" s="82">
        <v>5</v>
      </c>
      <c r="H14" s="82">
        <v>6</v>
      </c>
      <c r="I14" s="82">
        <v>7</v>
      </c>
    </row>
    <row r="15" spans="2:9" ht="12" customHeight="1">
      <c r="B15" s="82"/>
      <c r="C15" s="84" t="s">
        <v>4</v>
      </c>
      <c r="D15" s="82" t="s">
        <v>46</v>
      </c>
      <c r="E15" s="85">
        <v>160000</v>
      </c>
      <c r="F15" s="101"/>
      <c r="G15" s="101">
        <f>F15*E15</f>
        <v>0</v>
      </c>
      <c r="H15" s="101">
        <v>21.5</v>
      </c>
      <c r="I15" s="101">
        <f>+H15*E15</f>
        <v>3440000</v>
      </c>
    </row>
    <row r="16" spans="2:9" ht="12" customHeight="1">
      <c r="B16" s="82"/>
      <c r="C16" s="84" t="s">
        <v>3</v>
      </c>
      <c r="D16" s="82" t="s">
        <v>47</v>
      </c>
      <c r="E16" s="85">
        <v>5900</v>
      </c>
      <c r="F16" s="101"/>
      <c r="G16" s="101">
        <f t="shared" ref="G16" si="0">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20</v>
      </c>
      <c r="G18" s="120">
        <v>900000</v>
      </c>
      <c r="H18" s="120">
        <v>20</v>
      </c>
      <c r="I18" s="120">
        <v>900000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5</v>
      </c>
      <c r="G19" s="120">
        <v>600000</v>
      </c>
      <c r="H19" s="120">
        <v>5</v>
      </c>
      <c r="I19" s="120">
        <v>600000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3</v>
      </c>
      <c r="G20" s="120">
        <v>450000</v>
      </c>
      <c r="H20" s="120">
        <v>3</v>
      </c>
      <c r="I20" s="120">
        <v>450000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60</v>
      </c>
      <c r="G21" s="120">
        <v>2400000</v>
      </c>
      <c r="H21" s="120">
        <v>60</v>
      </c>
      <c r="I21" s="120">
        <v>2400000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25</v>
      </c>
      <c r="G22" s="120">
        <v>500000</v>
      </c>
      <c r="H22" s="120">
        <v>25</v>
      </c>
      <c r="I22" s="120">
        <v>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4850000</v>
      </c>
      <c r="H23" s="103"/>
      <c r="I23" s="103">
        <f>SUM(I18:I22)</f>
        <v>4850000</v>
      </c>
    </row>
    <row r="24" spans="2:9" ht="12" customHeight="1">
      <c r="B24" s="87"/>
      <c r="C24" s="117" t="s">
        <v>49</v>
      </c>
      <c r="D24" s="118" t="s">
        <v>50</v>
      </c>
      <c r="E24" s="119">
        <v>12500</v>
      </c>
      <c r="F24" s="120">
        <v>7709</v>
      </c>
      <c r="G24" s="120">
        <v>96362500</v>
      </c>
      <c r="H24" s="120">
        <v>7709</v>
      </c>
      <c r="I24" s="120">
        <v>96362500</v>
      </c>
    </row>
    <row r="25" spans="2:9" ht="12" customHeight="1">
      <c r="B25" s="87"/>
      <c r="C25" s="117" t="s">
        <v>131</v>
      </c>
      <c r="D25" s="118" t="s">
        <v>50</v>
      </c>
      <c r="E25" s="119">
        <v>55000</v>
      </c>
      <c r="F25" s="120">
        <v>5</v>
      </c>
      <c r="G25" s="120">
        <v>275000</v>
      </c>
      <c r="H25" s="120">
        <v>5</v>
      </c>
      <c r="I25" s="120">
        <v>275000</v>
      </c>
    </row>
    <row r="26" spans="2:9" ht="12" customHeight="1">
      <c r="B26" s="87"/>
      <c r="C26" s="117" t="s">
        <v>91</v>
      </c>
      <c r="D26" s="118" t="s">
        <v>50</v>
      </c>
      <c r="E26" s="119">
        <v>14500</v>
      </c>
      <c r="F26" s="120">
        <v>10</v>
      </c>
      <c r="G26" s="120">
        <v>145000</v>
      </c>
      <c r="H26" s="120">
        <v>10</v>
      </c>
      <c r="I26" s="120">
        <v>145000</v>
      </c>
    </row>
    <row r="27" spans="2:9" ht="12" customHeight="1">
      <c r="B27" s="87"/>
      <c r="C27" s="117" t="s">
        <v>78</v>
      </c>
      <c r="D27" s="118" t="s">
        <v>50</v>
      </c>
      <c r="E27" s="119">
        <v>11500</v>
      </c>
      <c r="F27" s="120">
        <v>50</v>
      </c>
      <c r="G27" s="120">
        <v>575000</v>
      </c>
      <c r="H27" s="120">
        <v>50</v>
      </c>
      <c r="I27" s="120">
        <v>575000</v>
      </c>
    </row>
    <row r="28" spans="2:9" ht="12" customHeight="1">
      <c r="B28" s="87"/>
      <c r="C28" s="117" t="s">
        <v>132</v>
      </c>
      <c r="D28" s="118" t="s">
        <v>50</v>
      </c>
      <c r="E28" s="119">
        <v>10000</v>
      </c>
      <c r="F28" s="120">
        <v>50</v>
      </c>
      <c r="G28" s="120">
        <v>500000</v>
      </c>
      <c r="H28" s="120">
        <v>50</v>
      </c>
      <c r="I28" s="120">
        <v>500000</v>
      </c>
    </row>
    <row r="29" spans="2:9" ht="12" customHeight="1">
      <c r="B29" s="87"/>
      <c r="C29" s="117" t="s">
        <v>133</v>
      </c>
      <c r="D29" s="118" t="s">
        <v>50</v>
      </c>
      <c r="E29" s="119">
        <v>15000</v>
      </c>
      <c r="F29" s="120">
        <v>50</v>
      </c>
      <c r="G29" s="120">
        <v>750000</v>
      </c>
      <c r="H29" s="120">
        <v>50</v>
      </c>
      <c r="I29" s="120">
        <v>750000</v>
      </c>
    </row>
    <row r="30" spans="2:9" ht="12" customHeight="1">
      <c r="B30" s="87"/>
      <c r="C30" s="88" t="s">
        <v>134</v>
      </c>
      <c r="D30" s="87"/>
      <c r="E30" s="89"/>
      <c r="F30" s="103"/>
      <c r="G30" s="103">
        <f>SUM(G24:G29)</f>
        <v>98607500</v>
      </c>
      <c r="H30" s="103"/>
      <c r="I30" s="103">
        <f>SUM(I24:I29)</f>
        <v>98607500</v>
      </c>
    </row>
    <row r="31" spans="2:9" ht="12" customHeight="1">
      <c r="B31" s="87"/>
      <c r="C31" s="117" t="s">
        <v>135</v>
      </c>
      <c r="D31" s="118" t="s">
        <v>51</v>
      </c>
      <c r="E31" s="119">
        <v>2100</v>
      </c>
      <c r="F31" s="120">
        <v>2000</v>
      </c>
      <c r="G31" s="120">
        <v>4200000</v>
      </c>
      <c r="H31" s="120">
        <v>2000</v>
      </c>
      <c r="I31" s="120">
        <v>4200000</v>
      </c>
    </row>
    <row r="32" spans="2:9" ht="12" customHeight="1">
      <c r="B32" s="87"/>
      <c r="C32" s="92" t="s">
        <v>124</v>
      </c>
      <c r="D32" s="93" t="s">
        <v>51</v>
      </c>
      <c r="E32" s="94">
        <v>2100</v>
      </c>
      <c r="F32" s="95">
        <v>3600</v>
      </c>
      <c r="G32" s="95">
        <v>7560000</v>
      </c>
      <c r="H32" s="95">
        <v>8600</v>
      </c>
      <c r="I32" s="95">
        <v>18060000</v>
      </c>
    </row>
    <row r="33" spans="2:9" ht="12" customHeight="1">
      <c r="B33" s="91"/>
      <c r="C33" s="92" t="s">
        <v>136</v>
      </c>
      <c r="D33" s="93" t="s">
        <v>51</v>
      </c>
      <c r="E33" s="94">
        <v>2200</v>
      </c>
      <c r="F33" s="95">
        <v>5000</v>
      </c>
      <c r="G33" s="95">
        <v>11000000</v>
      </c>
      <c r="H33" s="95">
        <v>5000</v>
      </c>
      <c r="I33" s="95">
        <v>11000000</v>
      </c>
    </row>
    <row r="34" spans="2:9" ht="12" customHeight="1">
      <c r="B34" s="87"/>
      <c r="C34" s="88" t="s">
        <v>39</v>
      </c>
      <c r="D34" s="87"/>
      <c r="E34" s="89"/>
      <c r="F34" s="97"/>
      <c r="G34" s="97">
        <f>SUM(G31:G33)</f>
        <v>22760000</v>
      </c>
      <c r="H34" s="97"/>
      <c r="I34" s="97">
        <f>SUM(I31:I33)</f>
        <v>33260000</v>
      </c>
    </row>
    <row r="35" spans="2:9" ht="12" customHeight="1">
      <c r="B35" s="87"/>
      <c r="C35" s="88" t="s">
        <v>137</v>
      </c>
      <c r="D35" s="87"/>
      <c r="E35" s="89"/>
      <c r="F35" s="97"/>
      <c r="G35" s="97">
        <f>+G34+G30+G23+G17</f>
        <v>126217500</v>
      </c>
      <c r="H35" s="97"/>
      <c r="I35" s="97">
        <f>+I34+I30+I23</f>
        <v>136717500</v>
      </c>
    </row>
    <row r="36" spans="2:9" ht="12" customHeight="1">
      <c r="B36" s="91"/>
      <c r="C36" s="92" t="s">
        <v>125</v>
      </c>
      <c r="D36" s="82" t="s">
        <v>46</v>
      </c>
      <c r="E36" s="94">
        <v>25000</v>
      </c>
      <c r="F36" s="99">
        <v>340</v>
      </c>
      <c r="G36" s="99">
        <f>+F36*E36</f>
        <v>8500000</v>
      </c>
      <c r="H36" s="99">
        <v>373</v>
      </c>
      <c r="I36" s="99">
        <v>9325000</v>
      </c>
    </row>
    <row r="37" spans="2:9" ht="12" customHeight="1">
      <c r="B37" s="82"/>
      <c r="C37" s="84" t="s">
        <v>107</v>
      </c>
      <c r="D37" s="82" t="s">
        <v>46</v>
      </c>
      <c r="E37" s="85">
        <v>160000</v>
      </c>
      <c r="F37" s="101">
        <v>150</v>
      </c>
      <c r="G37" s="101">
        <f t="shared" ref="G37" si="1">F37*E37</f>
        <v>24000000</v>
      </c>
      <c r="H37" s="101">
        <v>1294</v>
      </c>
      <c r="I37" s="101">
        <f>+H37*E37</f>
        <v>207040000</v>
      </c>
    </row>
    <row r="38" spans="2:9" ht="12" customHeight="1">
      <c r="B38" s="87" t="s">
        <v>13</v>
      </c>
      <c r="C38" s="88" t="s">
        <v>0</v>
      </c>
      <c r="D38" s="102"/>
      <c r="E38" s="89"/>
      <c r="F38" s="103"/>
      <c r="G38" s="103">
        <f>+G37+G36</f>
        <v>32500000</v>
      </c>
      <c r="H38" s="103"/>
      <c r="I38" s="103">
        <f>+I37+I36</f>
        <v>216365000</v>
      </c>
    </row>
    <row r="39" spans="2:9" ht="12" customHeight="1">
      <c r="B39" s="87" t="s">
        <v>88</v>
      </c>
      <c r="C39" s="88" t="s">
        <v>112</v>
      </c>
      <c r="D39" s="87"/>
      <c r="E39" s="89"/>
      <c r="F39" s="103"/>
      <c r="G39" s="103">
        <f>+G38+G35+G17</f>
        <v>158717500</v>
      </c>
      <c r="H39" s="103"/>
      <c r="I39" s="103">
        <f>+I38+I35+I17</f>
        <v>367804539</v>
      </c>
    </row>
    <row r="40" spans="2:9" ht="12" customHeight="1">
      <c r="B40" s="87"/>
      <c r="C40" s="117" t="s">
        <v>138</v>
      </c>
      <c r="D40" s="118" t="s">
        <v>50</v>
      </c>
      <c r="E40" s="119">
        <v>16000</v>
      </c>
      <c r="F40" s="120">
        <v>402</v>
      </c>
      <c r="G40" s="120">
        <v>6432000</v>
      </c>
      <c r="H40" s="120">
        <v>402</v>
      </c>
      <c r="I40" s="120">
        <v>6432000</v>
      </c>
    </row>
    <row r="41" spans="2:9" ht="12" customHeight="1">
      <c r="B41" s="87"/>
      <c r="C41" s="88" t="s">
        <v>139</v>
      </c>
      <c r="D41" s="87"/>
      <c r="E41" s="89"/>
      <c r="F41" s="103"/>
      <c r="G41" s="103">
        <f>+G40</f>
        <v>6432000</v>
      </c>
      <c r="H41" s="103"/>
      <c r="I41" s="103">
        <f>+I40</f>
        <v>6432000</v>
      </c>
    </row>
    <row r="42" spans="2:9" ht="12" customHeight="1">
      <c r="B42" s="91"/>
      <c r="C42" s="92" t="s">
        <v>119</v>
      </c>
      <c r="D42" s="93" t="s">
        <v>48</v>
      </c>
      <c r="E42" s="94">
        <v>45000</v>
      </c>
      <c r="F42" s="95">
        <v>1121</v>
      </c>
      <c r="G42" s="95">
        <f>+F42*E42</f>
        <v>50445000</v>
      </c>
      <c r="H42" s="104">
        <v>2371.1555499999999</v>
      </c>
      <c r="I42" s="104">
        <f>+H42*E42</f>
        <v>106701999.75</v>
      </c>
    </row>
    <row r="43" spans="2:9" ht="12" customHeight="1">
      <c r="B43" s="91"/>
      <c r="C43" s="92" t="s">
        <v>140</v>
      </c>
      <c r="D43" s="93" t="s">
        <v>48</v>
      </c>
      <c r="E43" s="94">
        <v>465000</v>
      </c>
      <c r="F43" s="95">
        <v>350</v>
      </c>
      <c r="G43" s="95">
        <v>162750000</v>
      </c>
      <c r="H43" s="95">
        <v>350</v>
      </c>
      <c r="I43" s="95">
        <v>162750000</v>
      </c>
    </row>
    <row r="44" spans="2:9" ht="12" customHeight="1">
      <c r="B44" s="91"/>
      <c r="C44" s="92" t="s">
        <v>141</v>
      </c>
      <c r="D44" s="93" t="s">
        <v>48</v>
      </c>
      <c r="E44" s="94">
        <v>530000</v>
      </c>
      <c r="F44" s="95">
        <v>31.6</v>
      </c>
      <c r="G44" s="95">
        <v>16748000</v>
      </c>
      <c r="H44" s="95">
        <v>31.6</v>
      </c>
      <c r="I44" s="95">
        <v>16748000</v>
      </c>
    </row>
    <row r="45" spans="2:9" ht="12" customHeight="1">
      <c r="B45" s="91"/>
      <c r="C45" s="105" t="s">
        <v>120</v>
      </c>
      <c r="D45" s="91"/>
      <c r="E45" s="106"/>
      <c r="F45" s="107"/>
      <c r="G45" s="107">
        <f>+G42+G43+G44</f>
        <v>229943000</v>
      </c>
      <c r="H45" s="107"/>
      <c r="I45" s="108">
        <f>+I42+I43+I44</f>
        <v>286199999.75</v>
      </c>
    </row>
    <row r="46" spans="2:9" ht="12" customHeight="1">
      <c r="B46" s="91"/>
      <c r="C46" s="92" t="s">
        <v>81</v>
      </c>
      <c r="D46" s="93" t="s">
        <v>52</v>
      </c>
      <c r="E46" s="94">
        <v>80000</v>
      </c>
      <c r="F46" s="95"/>
      <c r="G46" s="95">
        <f>+F46*E46</f>
        <v>0</v>
      </c>
      <c r="H46" s="95">
        <v>50</v>
      </c>
      <c r="I46" s="95">
        <f>+H46*E46</f>
        <v>4000000</v>
      </c>
    </row>
    <row r="47" spans="2:9" ht="12" customHeight="1">
      <c r="B47" s="91"/>
      <c r="C47" s="92" t="s">
        <v>99</v>
      </c>
      <c r="D47" s="93" t="s">
        <v>46</v>
      </c>
      <c r="E47" s="94">
        <v>180000</v>
      </c>
      <c r="F47" s="95">
        <v>30</v>
      </c>
      <c r="G47" s="95">
        <v>5400000</v>
      </c>
      <c r="H47" s="95">
        <v>30</v>
      </c>
      <c r="I47" s="95">
        <v>5400000</v>
      </c>
    </row>
    <row r="48" spans="2:9" ht="12" customHeight="1">
      <c r="B48" s="91"/>
      <c r="C48" s="92" t="s">
        <v>57</v>
      </c>
      <c r="D48" s="93" t="s">
        <v>121</v>
      </c>
      <c r="E48" s="94"/>
      <c r="F48" s="95"/>
      <c r="G48" s="95"/>
      <c r="H48" s="95"/>
      <c r="I48" s="95">
        <v>500000</v>
      </c>
    </row>
    <row r="49" spans="2:9" ht="12" customHeight="1">
      <c r="B49" s="91"/>
      <c r="C49" s="92" t="s">
        <v>59</v>
      </c>
      <c r="D49" s="93" t="s">
        <v>46</v>
      </c>
      <c r="E49" s="94">
        <v>80000</v>
      </c>
      <c r="F49" s="95">
        <v>10</v>
      </c>
      <c r="G49" s="95">
        <f>+F49*E49</f>
        <v>800000</v>
      </c>
      <c r="H49" s="95">
        <v>28</v>
      </c>
      <c r="I49" s="95">
        <v>2240000</v>
      </c>
    </row>
    <row r="50" spans="2:9" ht="12" customHeight="1">
      <c r="B50" s="91"/>
      <c r="C50" s="92" t="s">
        <v>126</v>
      </c>
      <c r="D50" s="93" t="s">
        <v>62</v>
      </c>
      <c r="E50" s="94">
        <v>25000</v>
      </c>
      <c r="F50" s="95">
        <v>1000</v>
      </c>
      <c r="G50" s="95">
        <f>+F50*E50</f>
        <v>25000000</v>
      </c>
      <c r="H50" s="95">
        <v>2000</v>
      </c>
      <c r="I50" s="95">
        <v>50000000</v>
      </c>
    </row>
    <row r="51" spans="2:9" ht="12" customHeight="1">
      <c r="B51" s="91"/>
      <c r="C51" s="92" t="s">
        <v>60</v>
      </c>
      <c r="D51" s="93" t="s">
        <v>61</v>
      </c>
      <c r="E51" s="94">
        <v>2600</v>
      </c>
      <c r="F51" s="95">
        <v>200</v>
      </c>
      <c r="G51" s="95">
        <v>520000</v>
      </c>
      <c r="H51" s="95">
        <v>200</v>
      </c>
      <c r="I51" s="95">
        <v>520000</v>
      </c>
    </row>
    <row r="52" spans="2:9" ht="12" customHeight="1">
      <c r="B52" s="91"/>
      <c r="C52" s="92" t="s">
        <v>142</v>
      </c>
      <c r="D52" s="93" t="s">
        <v>83</v>
      </c>
      <c r="E52" s="94">
        <v>63800</v>
      </c>
      <c r="F52" s="95">
        <v>10</v>
      </c>
      <c r="G52" s="95">
        <v>638000</v>
      </c>
      <c r="H52" s="95">
        <v>10</v>
      </c>
      <c r="I52" s="95">
        <v>638000</v>
      </c>
    </row>
    <row r="53" spans="2:9" ht="12" customHeight="1">
      <c r="B53" s="82"/>
      <c r="C53" s="109" t="s">
        <v>84</v>
      </c>
      <c r="D53" s="82" t="s">
        <v>62</v>
      </c>
      <c r="E53" s="85">
        <v>215592</v>
      </c>
      <c r="F53" s="101"/>
      <c r="G53" s="101">
        <f t="shared" ref="G53:G56" si="2">F53*E53</f>
        <v>0</v>
      </c>
      <c r="H53" s="101">
        <v>3</v>
      </c>
      <c r="I53" s="101">
        <f>+H53*E53</f>
        <v>646776</v>
      </c>
    </row>
    <row r="54" spans="2:9" ht="12" customHeight="1">
      <c r="B54" s="82"/>
      <c r="C54" s="109" t="s">
        <v>63</v>
      </c>
      <c r="D54" s="82" t="s">
        <v>62</v>
      </c>
      <c r="E54" s="85">
        <v>275200</v>
      </c>
      <c r="F54" s="101"/>
      <c r="G54" s="101">
        <f t="shared" si="2"/>
        <v>0</v>
      </c>
      <c r="H54" s="101">
        <v>1</v>
      </c>
      <c r="I54" s="101">
        <f t="shared" ref="I54:I56" si="3">+H54*E54</f>
        <v>275200</v>
      </c>
    </row>
    <row r="55" spans="2:9" ht="12" customHeight="1">
      <c r="B55" s="82"/>
      <c r="C55" s="109" t="s">
        <v>64</v>
      </c>
      <c r="D55" s="82" t="s">
        <v>62</v>
      </c>
      <c r="E55" s="85">
        <v>444312</v>
      </c>
      <c r="F55" s="101"/>
      <c r="G55" s="101">
        <f t="shared" si="2"/>
        <v>0</v>
      </c>
      <c r="H55" s="101">
        <v>1</v>
      </c>
      <c r="I55" s="101">
        <f t="shared" si="3"/>
        <v>444312</v>
      </c>
    </row>
    <row r="56" spans="2:9" ht="12" customHeight="1">
      <c r="B56" s="82"/>
      <c r="C56" s="109" t="s">
        <v>65</v>
      </c>
      <c r="D56" s="82" t="s">
        <v>62</v>
      </c>
      <c r="E56" s="85">
        <v>275200</v>
      </c>
      <c r="F56" s="101"/>
      <c r="G56" s="101">
        <f t="shared" si="2"/>
        <v>0</v>
      </c>
      <c r="H56" s="101">
        <v>1</v>
      </c>
      <c r="I56" s="101">
        <f t="shared" si="3"/>
        <v>275200</v>
      </c>
    </row>
    <row r="57" spans="2:9" ht="12" customHeight="1">
      <c r="B57" s="87" t="s">
        <v>14</v>
      </c>
      <c r="C57" s="88" t="s">
        <v>40</v>
      </c>
      <c r="D57" s="87"/>
      <c r="E57" s="89"/>
      <c r="F57" s="103"/>
      <c r="G57" s="103">
        <f>SUM(G46:G56)</f>
        <v>32358000</v>
      </c>
      <c r="H57" s="103"/>
      <c r="I57" s="103">
        <f>SUM(I46:I56)</f>
        <v>64939488</v>
      </c>
    </row>
    <row r="58" spans="2:9" ht="12" customHeight="1">
      <c r="B58" s="87" t="s">
        <v>89</v>
      </c>
      <c r="C58" s="88" t="s">
        <v>113</v>
      </c>
      <c r="D58" s="87"/>
      <c r="E58" s="89"/>
      <c r="F58" s="103"/>
      <c r="G58" s="103">
        <f>+G57+G45+G41</f>
        <v>268733000</v>
      </c>
      <c r="H58" s="103"/>
      <c r="I58" s="90">
        <f>+I57+I45+I41</f>
        <v>357571487.75</v>
      </c>
    </row>
    <row r="59" spans="2:9" ht="12" customHeight="1">
      <c r="B59" s="87" t="s">
        <v>18</v>
      </c>
      <c r="C59" s="88" t="s">
        <v>114</v>
      </c>
      <c r="D59" s="87"/>
      <c r="E59" s="89"/>
      <c r="F59" s="103"/>
      <c r="G59" s="103">
        <f>G58+G39</f>
        <v>427450500</v>
      </c>
      <c r="H59" s="103"/>
      <c r="I59" s="90">
        <f>I58+I39</f>
        <v>725376026.75</v>
      </c>
    </row>
    <row r="60" spans="2:9" ht="12" customHeight="1">
      <c r="B60" s="87" t="s">
        <v>19</v>
      </c>
      <c r="C60" s="121" t="s">
        <v>11</v>
      </c>
      <c r="D60" s="122"/>
      <c r="E60" s="123"/>
      <c r="F60" s="125"/>
      <c r="G60" s="125">
        <f>G59*0.1</f>
        <v>42745050</v>
      </c>
      <c r="H60" s="125"/>
      <c r="I60" s="124">
        <f t="shared" ref="I60" si="4">I59*0.1</f>
        <v>72537602.674999997</v>
      </c>
    </row>
    <row r="61" spans="2:9" ht="12" customHeight="1">
      <c r="B61" s="87" t="s">
        <v>90</v>
      </c>
      <c r="C61" s="88" t="s">
        <v>115</v>
      </c>
      <c r="D61" s="87"/>
      <c r="E61" s="89"/>
      <c r="F61" s="97"/>
      <c r="G61" s="97">
        <f>G59+G60</f>
        <v>470195550</v>
      </c>
      <c r="H61" s="97"/>
      <c r="I61" s="98">
        <f t="shared" ref="I61" si="5">I59+I60</f>
        <v>797913629.42499995</v>
      </c>
    </row>
    <row r="62" spans="2:9" ht="9.75" customHeight="1">
      <c r="B62" s="16"/>
      <c r="C62" s="17"/>
      <c r="D62" s="16"/>
      <c r="E62" s="18"/>
      <c r="F62" s="19"/>
      <c r="G62" s="18"/>
      <c r="H62" s="18"/>
      <c r="I62" s="18"/>
    </row>
    <row r="63" spans="2:9" ht="15">
      <c r="C63" s="2" t="s">
        <v>5</v>
      </c>
    </row>
    <row r="64" spans="2:9">
      <c r="C64" s="1" t="s">
        <v>66</v>
      </c>
      <c r="G64" s="126" t="s">
        <v>111</v>
      </c>
      <c r="H64" s="126"/>
    </row>
    <row r="65" spans="3:8" s="1" customFormat="1">
      <c r="G65" s="77"/>
      <c r="H65" s="77"/>
    </row>
    <row r="66" spans="3:8" s="1" customFormat="1">
      <c r="C66" s="1" t="s">
        <v>67</v>
      </c>
      <c r="G66" s="126" t="s">
        <v>127</v>
      </c>
      <c r="H66" s="126"/>
    </row>
    <row r="67" spans="3:8" s="1" customFormat="1">
      <c r="G67" s="77"/>
      <c r="H67" s="77"/>
    </row>
    <row r="68" spans="3:8" s="1" customFormat="1">
      <c r="C68" s="3" t="s">
        <v>71</v>
      </c>
      <c r="G68" s="126" t="s">
        <v>116</v>
      </c>
      <c r="H68" s="126"/>
    </row>
    <row r="70" spans="3:8" s="1" customFormat="1" ht="15">
      <c r="C70" s="2" t="s">
        <v>1</v>
      </c>
    </row>
    <row r="71" spans="3:8" s="1" customFormat="1" ht="13.5" customHeight="1">
      <c r="C71" s="1" t="s">
        <v>35</v>
      </c>
      <c r="G71" s="1" t="s">
        <v>45</v>
      </c>
    </row>
    <row r="72" spans="3:8" s="1" customFormat="1" ht="15">
      <c r="C72" s="2" t="s">
        <v>2</v>
      </c>
    </row>
    <row r="73" spans="3:8" s="1" customFormat="1" ht="15.75" customHeight="1">
      <c r="C73" s="1" t="s">
        <v>34</v>
      </c>
      <c r="G73" s="126" t="s">
        <v>75</v>
      </c>
      <c r="H73" s="126"/>
    </row>
    <row r="74" spans="3:8" s="1" customFormat="1" ht="15.75" customHeight="1">
      <c r="G74" s="77"/>
      <c r="H74" s="77"/>
    </row>
    <row r="75" spans="3:8" s="1" customFormat="1" ht="15.75" customHeight="1">
      <c r="C75" s="1" t="s">
        <v>34</v>
      </c>
      <c r="G75" s="1" t="s">
        <v>44</v>
      </c>
    </row>
  </sheetData>
  <mergeCells count="18">
    <mergeCell ref="E7:H7"/>
    <mergeCell ref="B1:I1"/>
    <mergeCell ref="B2:I2"/>
    <mergeCell ref="B3:I3"/>
    <mergeCell ref="C5:I5"/>
    <mergeCell ref="C6:I6"/>
    <mergeCell ref="G64:H64"/>
    <mergeCell ref="G66:H66"/>
    <mergeCell ref="G68:H68"/>
    <mergeCell ref="G73:H73"/>
    <mergeCell ref="B8:I8"/>
    <mergeCell ref="B10:I10"/>
    <mergeCell ref="B12:B13"/>
    <mergeCell ref="C12:C13"/>
    <mergeCell ref="D12:D13"/>
    <mergeCell ref="E12:E13"/>
    <mergeCell ref="F12:G12"/>
    <mergeCell ref="H12:I12"/>
  </mergeCells>
  <pageMargins left="0.25" right="0.25" top="0.8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abSelected="1" workbookViewId="0">
      <selection activeCell="B11" sqref="B11"/>
    </sheetView>
  </sheetViews>
  <sheetFormatPr defaultRowHeight="14.25"/>
  <cols>
    <col min="1" max="1" width="5.625" style="1" customWidth="1"/>
    <col min="2" max="2" width="4.625" style="14" customWidth="1"/>
    <col min="3" max="3" width="40.75" style="1" customWidth="1"/>
    <col min="4" max="4" width="9.75" style="1" customWidth="1"/>
    <col min="5" max="6" width="11.25" style="1" customWidth="1"/>
    <col min="7" max="7" width="17.25" style="1" customWidth="1"/>
    <col min="8" max="8" width="11.25" style="1" customWidth="1"/>
    <col min="9" max="9" width="17.125" style="1" customWidth="1"/>
    <col min="10" max="10" width="14" style="1" customWidth="1"/>
    <col min="11" max="16384" width="9" style="1"/>
  </cols>
  <sheetData>
    <row r="1" spans="2:9" ht="10.5" customHeight="1">
      <c r="B1" s="135" t="s">
        <v>41</v>
      </c>
      <c r="C1" s="135"/>
      <c r="D1" s="135"/>
      <c r="E1" s="135"/>
      <c r="F1" s="135"/>
      <c r="G1" s="135"/>
      <c r="H1" s="135"/>
      <c r="I1" s="135"/>
    </row>
    <row r="2" spans="2:9" ht="10.5" customHeight="1">
      <c r="B2" s="135" t="s">
        <v>42</v>
      </c>
      <c r="C2" s="135"/>
      <c r="D2" s="135"/>
      <c r="E2" s="135"/>
      <c r="F2" s="135"/>
      <c r="G2" s="135"/>
      <c r="H2" s="135"/>
      <c r="I2" s="135"/>
    </row>
    <row r="3" spans="2:9" ht="10.5" customHeight="1">
      <c r="B3" s="135" t="s">
        <v>43</v>
      </c>
      <c r="C3" s="135"/>
      <c r="D3" s="135"/>
      <c r="E3" s="135"/>
      <c r="F3" s="135"/>
      <c r="G3" s="135"/>
      <c r="H3" s="135"/>
      <c r="I3" s="135"/>
    </row>
    <row r="4" spans="2:9" ht="5.25" customHeight="1"/>
    <row r="5" spans="2:9" ht="12" customHeight="1">
      <c r="B5" s="78"/>
      <c r="C5" s="136" t="s">
        <v>69</v>
      </c>
      <c r="D5" s="136"/>
      <c r="E5" s="136"/>
      <c r="F5" s="136"/>
      <c r="G5" s="136"/>
      <c r="H5" s="136"/>
      <c r="I5" s="136"/>
    </row>
    <row r="6" spans="2:9" ht="12" customHeight="1">
      <c r="B6" s="78"/>
      <c r="C6" s="136" t="s">
        <v>33</v>
      </c>
      <c r="D6" s="136"/>
      <c r="E6" s="136"/>
      <c r="F6" s="136"/>
      <c r="G6" s="136"/>
      <c r="H6" s="136"/>
      <c r="I6" s="136"/>
    </row>
    <row r="7" spans="2:9" ht="12" customHeight="1">
      <c r="B7" s="78"/>
      <c r="C7" s="116"/>
      <c r="D7" s="116"/>
      <c r="E7" s="143" t="s">
        <v>110</v>
      </c>
      <c r="F7" s="143"/>
      <c r="G7" s="143"/>
      <c r="H7" s="143"/>
      <c r="I7" s="80"/>
    </row>
    <row r="8" spans="2:9" ht="12" customHeight="1">
      <c r="B8" s="141" t="s">
        <v>156</v>
      </c>
      <c r="C8" s="141"/>
      <c r="D8" s="141"/>
      <c r="E8" s="141"/>
      <c r="F8" s="141"/>
      <c r="G8" s="141"/>
      <c r="H8" s="141"/>
      <c r="I8" s="141"/>
    </row>
    <row r="9" spans="2:9" ht="3.75" customHeight="1">
      <c r="B9" s="113"/>
      <c r="C9" s="113"/>
      <c r="D9" s="113"/>
      <c r="E9" s="113"/>
      <c r="F9" s="113"/>
      <c r="G9" s="113"/>
      <c r="H9" s="113"/>
      <c r="I9" s="113"/>
    </row>
    <row r="10" spans="2:9" ht="12" customHeight="1">
      <c r="B10" s="142" t="s">
        <v>157</v>
      </c>
      <c r="C10" s="142"/>
      <c r="D10" s="142"/>
      <c r="E10" s="142"/>
      <c r="F10" s="142"/>
      <c r="G10" s="142"/>
      <c r="H10" s="142"/>
      <c r="I10" s="142"/>
    </row>
    <row r="11" spans="2:9" ht="3" customHeight="1">
      <c r="B11" s="78" t="s">
        <v>158</v>
      </c>
      <c r="C11" s="80"/>
      <c r="D11" s="80"/>
      <c r="E11" s="80"/>
      <c r="F11" s="80"/>
      <c r="G11" s="80"/>
      <c r="H11" s="80"/>
      <c r="I11" s="80"/>
    </row>
    <row r="12" spans="2:9" ht="12" customHeight="1">
      <c r="B12" s="137" t="s">
        <v>32</v>
      </c>
      <c r="C12" s="137" t="s">
        <v>6</v>
      </c>
      <c r="D12" s="138" t="s">
        <v>28</v>
      </c>
      <c r="E12" s="138" t="s">
        <v>29</v>
      </c>
      <c r="F12" s="140" t="s">
        <v>30</v>
      </c>
      <c r="G12" s="140"/>
      <c r="H12" s="140" t="s">
        <v>31</v>
      </c>
      <c r="I12" s="140"/>
    </row>
    <row r="13" spans="2:9" ht="12" customHeight="1">
      <c r="B13" s="137"/>
      <c r="C13" s="137"/>
      <c r="D13" s="139"/>
      <c r="E13" s="139"/>
      <c r="F13" s="114" t="s">
        <v>7</v>
      </c>
      <c r="G13" s="114" t="s">
        <v>0</v>
      </c>
      <c r="H13" s="114" t="s">
        <v>7</v>
      </c>
      <c r="I13" s="114" t="s">
        <v>0</v>
      </c>
    </row>
    <row r="14" spans="2:9" ht="12" customHeight="1">
      <c r="B14" s="114">
        <v>0</v>
      </c>
      <c r="C14" s="114">
        <v>1</v>
      </c>
      <c r="D14" s="115">
        <v>2</v>
      </c>
      <c r="E14" s="115">
        <v>3</v>
      </c>
      <c r="F14" s="114">
        <v>4</v>
      </c>
      <c r="G14" s="114">
        <v>5</v>
      </c>
      <c r="H14" s="114">
        <v>6</v>
      </c>
      <c r="I14" s="114">
        <v>7</v>
      </c>
    </row>
    <row r="15" spans="2:9" ht="12" customHeight="1">
      <c r="B15" s="114"/>
      <c r="C15" s="84" t="s">
        <v>4</v>
      </c>
      <c r="D15" s="114" t="s">
        <v>46</v>
      </c>
      <c r="E15" s="85">
        <v>160000</v>
      </c>
      <c r="F15" s="101"/>
      <c r="G15" s="101">
        <f>+F15*E15</f>
        <v>0</v>
      </c>
      <c r="H15" s="155">
        <v>21.5</v>
      </c>
      <c r="I15" s="101">
        <f>+H15*E15</f>
        <v>3440000</v>
      </c>
    </row>
    <row r="16" spans="2:9" ht="12" customHeight="1">
      <c r="B16" s="114"/>
      <c r="C16" s="84" t="s">
        <v>3</v>
      </c>
      <c r="D16" s="114" t="s">
        <v>47</v>
      </c>
      <c r="E16" s="85">
        <v>5900</v>
      </c>
      <c r="F16" s="101"/>
      <c r="G16" s="101">
        <f>+F16*E16</f>
        <v>0</v>
      </c>
      <c r="H16" s="101">
        <v>1912.21</v>
      </c>
      <c r="I16" s="101">
        <f>+H16*E16</f>
        <v>11282039</v>
      </c>
    </row>
    <row r="17" spans="2:9" ht="12" customHeight="1">
      <c r="B17" s="87" t="s">
        <v>12</v>
      </c>
      <c r="C17" s="88" t="s">
        <v>36</v>
      </c>
      <c r="D17" s="87"/>
      <c r="E17" s="89"/>
      <c r="F17" s="103"/>
      <c r="G17" s="103">
        <f>SUM(G15:G16)</f>
        <v>0</v>
      </c>
      <c r="H17" s="103"/>
      <c r="I17" s="103">
        <f>SUM(I15:I16)</f>
        <v>14722039</v>
      </c>
    </row>
    <row r="18" spans="2:9" ht="12" customHeight="1">
      <c r="B18" s="91"/>
      <c r="C18" s="117" t="s">
        <v>76</v>
      </c>
      <c r="D18" s="118" t="s">
        <v>48</v>
      </c>
      <c r="E18" s="119">
        <v>45000</v>
      </c>
      <c r="F18" s="120">
        <v>40</v>
      </c>
      <c r="G18" s="101">
        <f>+F18*E18</f>
        <v>1800000</v>
      </c>
      <c r="H18" s="120">
        <v>60</v>
      </c>
      <c r="I18" s="101">
        <f>+H18*E18</f>
        <v>2700000</v>
      </c>
    </row>
    <row r="19" spans="2:9" ht="12" customHeight="1">
      <c r="B19" s="91"/>
      <c r="C19" s="117" t="s">
        <v>128</v>
      </c>
      <c r="D19" s="118" t="s">
        <v>47</v>
      </c>
      <c r="E19" s="119">
        <v>120000</v>
      </c>
      <c r="F19" s="120">
        <v>15</v>
      </c>
      <c r="G19" s="101">
        <f>+F19*E19</f>
        <v>1800000</v>
      </c>
      <c r="H19" s="120">
        <v>20</v>
      </c>
      <c r="I19" s="101">
        <f>+H19*E19</f>
        <v>2400000</v>
      </c>
    </row>
    <row r="20" spans="2:9" ht="12" customHeight="1">
      <c r="B20" s="91"/>
      <c r="C20" s="117" t="s">
        <v>129</v>
      </c>
      <c r="D20" s="118" t="s">
        <v>47</v>
      </c>
      <c r="E20" s="119">
        <v>150000</v>
      </c>
      <c r="F20" s="120">
        <v>9</v>
      </c>
      <c r="G20" s="101">
        <f t="shared" ref="G20:G22" si="0">+F20*E20</f>
        <v>1350000</v>
      </c>
      <c r="H20" s="120">
        <v>12</v>
      </c>
      <c r="I20" s="101">
        <f t="shared" ref="I20:I22" si="1">+H20*E20</f>
        <v>1800000</v>
      </c>
    </row>
    <row r="21" spans="2:9" ht="12" customHeight="1">
      <c r="B21" s="91"/>
      <c r="C21" s="117" t="s">
        <v>130</v>
      </c>
      <c r="D21" s="118" t="s">
        <v>48</v>
      </c>
      <c r="E21" s="119">
        <v>40000</v>
      </c>
      <c r="F21" s="120">
        <v>240</v>
      </c>
      <c r="G21" s="101">
        <f t="shared" si="0"/>
        <v>9600000</v>
      </c>
      <c r="H21" s="120">
        <v>300</v>
      </c>
      <c r="I21" s="101">
        <f t="shared" si="1"/>
        <v>12000000</v>
      </c>
    </row>
    <row r="22" spans="2:9" ht="12" customHeight="1">
      <c r="B22" s="91"/>
      <c r="C22" s="117" t="s">
        <v>77</v>
      </c>
      <c r="D22" s="118" t="s">
        <v>48</v>
      </c>
      <c r="E22" s="119">
        <v>20000</v>
      </c>
      <c r="F22" s="120">
        <v>100</v>
      </c>
      <c r="G22" s="101">
        <f t="shared" si="0"/>
        <v>2000000</v>
      </c>
      <c r="H22" s="120">
        <v>125</v>
      </c>
      <c r="I22" s="101">
        <f t="shared" si="1"/>
        <v>2500000</v>
      </c>
    </row>
    <row r="23" spans="2:9" ht="12" customHeight="1">
      <c r="B23" s="87"/>
      <c r="C23" s="88" t="s">
        <v>0</v>
      </c>
      <c r="D23" s="87"/>
      <c r="E23" s="89"/>
      <c r="F23" s="103"/>
      <c r="G23" s="103">
        <f>SUM(G18:G22)</f>
        <v>16550000</v>
      </c>
      <c r="H23" s="103"/>
      <c r="I23" s="103">
        <f>SUM(I18:I22)</f>
        <v>21400000</v>
      </c>
    </row>
    <row r="24" spans="2:9" ht="12" customHeight="1">
      <c r="B24" s="144">
        <f>B22+1</f>
        <v>1</v>
      </c>
      <c r="C24" s="150" t="s">
        <v>144</v>
      </c>
      <c r="D24" s="151" t="s">
        <v>145</v>
      </c>
      <c r="E24" s="152">
        <v>75000</v>
      </c>
      <c r="F24" s="145">
        <f t="shared" ref="F24:F28" si="2">+AR24</f>
        <v>0</v>
      </c>
      <c r="G24" s="101">
        <f>+F24*E24</f>
        <v>0</v>
      </c>
      <c r="H24" s="146">
        <f t="shared" ref="H24:H25" si="3">+AT24</f>
        <v>0</v>
      </c>
      <c r="I24" s="101">
        <f>+H24*E24</f>
        <v>0</v>
      </c>
    </row>
    <row r="25" spans="2:9" ht="12" customHeight="1">
      <c r="B25" s="144">
        <f>B24+1</f>
        <v>2</v>
      </c>
      <c r="C25" s="150" t="s">
        <v>146</v>
      </c>
      <c r="D25" s="151" t="s">
        <v>147</v>
      </c>
      <c r="E25" s="152">
        <v>18000</v>
      </c>
      <c r="F25" s="145">
        <f t="shared" si="2"/>
        <v>0</v>
      </c>
      <c r="G25" s="101">
        <f>+F25*E25</f>
        <v>0</v>
      </c>
      <c r="H25" s="146">
        <f t="shared" si="3"/>
        <v>0</v>
      </c>
      <c r="I25" s="101">
        <f>+H25*E25</f>
        <v>0</v>
      </c>
    </row>
    <row r="26" spans="2:9" ht="12" customHeight="1">
      <c r="B26" s="144">
        <f t="shared" ref="B26:B27" si="4">B25+1</f>
        <v>3</v>
      </c>
      <c r="C26" s="150" t="s">
        <v>148</v>
      </c>
      <c r="D26" s="151" t="s">
        <v>147</v>
      </c>
      <c r="E26" s="152">
        <v>200000</v>
      </c>
      <c r="F26" s="147">
        <v>500</v>
      </c>
      <c r="G26" s="101">
        <f>+F26*E26</f>
        <v>100000000</v>
      </c>
      <c r="H26" s="148">
        <f>+F26</f>
        <v>500</v>
      </c>
      <c r="I26" s="101">
        <f t="shared" ref="I26" si="5">+H26*E26</f>
        <v>100000000</v>
      </c>
    </row>
    <row r="27" spans="2:9" ht="12" customHeight="1">
      <c r="B27" s="144">
        <f t="shared" si="4"/>
        <v>4</v>
      </c>
      <c r="C27" s="150" t="s">
        <v>149</v>
      </c>
      <c r="D27" s="151" t="s">
        <v>147</v>
      </c>
      <c r="E27" s="152">
        <v>12500</v>
      </c>
      <c r="F27" s="147">
        <v>500</v>
      </c>
      <c r="G27" s="101">
        <f>+F27*E27</f>
        <v>6250000</v>
      </c>
      <c r="H27" s="148">
        <f>+F27</f>
        <v>500</v>
      </c>
      <c r="I27" s="101">
        <f>+H27*E27</f>
        <v>6250000</v>
      </c>
    </row>
    <row r="28" spans="2:9" ht="12" customHeight="1">
      <c r="B28" s="144"/>
      <c r="C28" s="153" t="s">
        <v>150</v>
      </c>
      <c r="D28" s="154"/>
      <c r="E28" s="154"/>
      <c r="F28" s="147">
        <f t="shared" si="2"/>
        <v>0</v>
      </c>
      <c r="G28" s="149">
        <f>SUM(G24:G27)</f>
        <v>106250000</v>
      </c>
      <c r="H28" s="148"/>
      <c r="I28" s="149">
        <f t="shared" ref="I28" si="6">SUM(I24:I27)</f>
        <v>106250000</v>
      </c>
    </row>
    <row r="29" spans="2:9" ht="12" customHeight="1">
      <c r="B29" s="87"/>
      <c r="C29" s="117" t="s">
        <v>49</v>
      </c>
      <c r="D29" s="118" t="s">
        <v>50</v>
      </c>
      <c r="E29" s="119">
        <v>12500</v>
      </c>
      <c r="F29" s="120"/>
      <c r="G29" s="120">
        <f>+F29*E29</f>
        <v>0</v>
      </c>
      <c r="H29" s="120">
        <v>7709</v>
      </c>
      <c r="I29" s="101">
        <f>+H29*E29</f>
        <v>96362500</v>
      </c>
    </row>
    <row r="30" spans="2:9" ht="12" customHeight="1">
      <c r="B30" s="87"/>
      <c r="C30" s="117" t="s">
        <v>131</v>
      </c>
      <c r="D30" s="118" t="s">
        <v>50</v>
      </c>
      <c r="E30" s="119">
        <v>55000</v>
      </c>
      <c r="F30" s="120">
        <v>25</v>
      </c>
      <c r="G30" s="120">
        <f t="shared" ref="G30:G36" si="7">+F30*E30</f>
        <v>1375000</v>
      </c>
      <c r="H30" s="120">
        <v>30</v>
      </c>
      <c r="I30" s="101">
        <f>+H30*E30</f>
        <v>1650000</v>
      </c>
    </row>
    <row r="31" spans="2:9" ht="12" customHeight="1">
      <c r="B31" s="87"/>
      <c r="C31" s="117" t="s">
        <v>91</v>
      </c>
      <c r="D31" s="118" t="s">
        <v>50</v>
      </c>
      <c r="E31" s="119">
        <v>14500</v>
      </c>
      <c r="F31" s="120">
        <v>15</v>
      </c>
      <c r="G31" s="120">
        <f t="shared" si="7"/>
        <v>217500</v>
      </c>
      <c r="H31" s="120">
        <v>25</v>
      </c>
      <c r="I31" s="101">
        <f t="shared" ref="I31" si="8">+H31*E31</f>
        <v>362500</v>
      </c>
    </row>
    <row r="32" spans="2:9" ht="12" customHeight="1">
      <c r="B32" s="87"/>
      <c r="C32" s="117" t="s">
        <v>78</v>
      </c>
      <c r="D32" s="118" t="s">
        <v>50</v>
      </c>
      <c r="E32" s="119">
        <v>11500</v>
      </c>
      <c r="F32" s="120">
        <v>143</v>
      </c>
      <c r="G32" s="120">
        <f t="shared" si="7"/>
        <v>1644500</v>
      </c>
      <c r="H32" s="120">
        <v>193</v>
      </c>
      <c r="I32" s="101">
        <f>+H32*E32</f>
        <v>2219500</v>
      </c>
    </row>
    <row r="33" spans="2:9" ht="12" customHeight="1">
      <c r="B33" s="87"/>
      <c r="C33" s="117" t="s">
        <v>132</v>
      </c>
      <c r="D33" s="118" t="s">
        <v>50</v>
      </c>
      <c r="E33" s="119">
        <v>10000</v>
      </c>
      <c r="F33" s="120">
        <v>220</v>
      </c>
      <c r="G33" s="120">
        <f t="shared" si="7"/>
        <v>2200000</v>
      </c>
      <c r="H33" s="120">
        <v>270</v>
      </c>
      <c r="I33" s="101">
        <f>+H33*E33</f>
        <v>2700000</v>
      </c>
    </row>
    <row r="34" spans="2:9" ht="12" customHeight="1">
      <c r="B34" s="87"/>
      <c r="C34" s="117" t="s">
        <v>151</v>
      </c>
      <c r="D34" s="118" t="s">
        <v>50</v>
      </c>
      <c r="E34" s="119">
        <v>9000</v>
      </c>
      <c r="F34" s="120">
        <v>40</v>
      </c>
      <c r="G34" s="120">
        <f t="shared" si="7"/>
        <v>360000</v>
      </c>
      <c r="H34" s="120">
        <v>40</v>
      </c>
      <c r="I34" s="101">
        <f>+H34*E34</f>
        <v>360000</v>
      </c>
    </row>
    <row r="35" spans="2:9" ht="12" customHeight="1">
      <c r="B35" s="87"/>
      <c r="C35" s="117" t="s">
        <v>133</v>
      </c>
      <c r="D35" s="118" t="s">
        <v>50</v>
      </c>
      <c r="E35" s="119">
        <v>15000</v>
      </c>
      <c r="F35" s="120"/>
      <c r="G35" s="120">
        <f t="shared" si="7"/>
        <v>0</v>
      </c>
      <c r="H35" s="120">
        <v>50</v>
      </c>
      <c r="I35" s="101">
        <f t="shared" ref="I35" si="9">+H35*E35</f>
        <v>750000</v>
      </c>
    </row>
    <row r="36" spans="2:9" ht="12" customHeight="1">
      <c r="B36" s="87"/>
      <c r="C36" s="117" t="s">
        <v>152</v>
      </c>
      <c r="D36" s="118" t="s">
        <v>50</v>
      </c>
      <c r="E36" s="119">
        <v>12300</v>
      </c>
      <c r="F36" s="120">
        <v>150</v>
      </c>
      <c r="G36" s="120">
        <f t="shared" si="7"/>
        <v>1845000</v>
      </c>
      <c r="H36" s="120">
        <v>150</v>
      </c>
      <c r="I36" s="101">
        <f>+H36*E36</f>
        <v>1845000</v>
      </c>
    </row>
    <row r="37" spans="2:9" ht="12" customHeight="1">
      <c r="B37" s="87"/>
      <c r="C37" s="88" t="s">
        <v>134</v>
      </c>
      <c r="D37" s="87"/>
      <c r="E37" s="89"/>
      <c r="F37" s="103"/>
      <c r="G37" s="103">
        <f>SUM(G29:G36)</f>
        <v>7642000</v>
      </c>
      <c r="H37" s="103"/>
      <c r="I37" s="103">
        <f>SUM(I29:I36)</f>
        <v>106249500</v>
      </c>
    </row>
    <row r="38" spans="2:9" ht="12" customHeight="1">
      <c r="B38" s="87"/>
      <c r="C38" s="117" t="s">
        <v>135</v>
      </c>
      <c r="D38" s="118" t="s">
        <v>51</v>
      </c>
      <c r="E38" s="119">
        <v>2100</v>
      </c>
      <c r="F38" s="120">
        <v>6000</v>
      </c>
      <c r="G38" s="120">
        <f>+F38*E38</f>
        <v>12600000</v>
      </c>
      <c r="H38" s="120">
        <v>8000</v>
      </c>
      <c r="I38" s="101">
        <f>+H38*E38</f>
        <v>16800000</v>
      </c>
    </row>
    <row r="39" spans="2:9" ht="12" customHeight="1">
      <c r="B39" s="87"/>
      <c r="C39" s="92" t="s">
        <v>124</v>
      </c>
      <c r="D39" s="93" t="s">
        <v>51</v>
      </c>
      <c r="E39" s="94">
        <v>2100</v>
      </c>
      <c r="F39" s="95"/>
      <c r="G39" s="120">
        <f t="shared" ref="G39:G40" si="10">+F39*E39</f>
        <v>0</v>
      </c>
      <c r="H39" s="95">
        <v>8600</v>
      </c>
      <c r="I39" s="101">
        <f>+H39*E39</f>
        <v>18060000</v>
      </c>
    </row>
    <row r="40" spans="2:9" ht="12" customHeight="1">
      <c r="B40" s="91"/>
      <c r="C40" s="92" t="s">
        <v>136</v>
      </c>
      <c r="D40" s="93" t="s">
        <v>51</v>
      </c>
      <c r="E40" s="94">
        <v>2200</v>
      </c>
      <c r="F40" s="95">
        <v>5000</v>
      </c>
      <c r="G40" s="120">
        <f t="shared" si="10"/>
        <v>11000000</v>
      </c>
      <c r="H40" s="95">
        <v>10000</v>
      </c>
      <c r="I40" s="101">
        <f t="shared" ref="I40" si="11">+H40*E40</f>
        <v>22000000</v>
      </c>
    </row>
    <row r="41" spans="2:9" ht="12" customHeight="1">
      <c r="B41" s="87"/>
      <c r="C41" s="88" t="s">
        <v>39</v>
      </c>
      <c r="D41" s="87"/>
      <c r="E41" s="89"/>
      <c r="F41" s="97"/>
      <c r="G41" s="97">
        <f>SUM(G38:G40)</f>
        <v>23600000</v>
      </c>
      <c r="H41" s="97"/>
      <c r="I41" s="97">
        <f>SUM(I38:I40)</f>
        <v>56860000</v>
      </c>
    </row>
    <row r="42" spans="2:9" ht="12" customHeight="1">
      <c r="B42" s="87"/>
      <c r="C42" s="88" t="s">
        <v>137</v>
      </c>
      <c r="D42" s="87"/>
      <c r="E42" s="89"/>
      <c r="F42" s="97"/>
      <c r="G42" s="97">
        <f>+G41+G37+G28+G23+G17</f>
        <v>154042000</v>
      </c>
      <c r="H42" s="97"/>
      <c r="I42" s="97">
        <f>+I41+I37+I28+I23</f>
        <v>290759500</v>
      </c>
    </row>
    <row r="43" spans="2:9" ht="12" customHeight="1">
      <c r="B43" s="91"/>
      <c r="C43" s="92" t="s">
        <v>153</v>
      </c>
      <c r="D43" s="114" t="s">
        <v>46</v>
      </c>
      <c r="E43" s="94">
        <v>25000</v>
      </c>
      <c r="F43" s="99">
        <v>1020</v>
      </c>
      <c r="G43" s="120">
        <f>+F43*E43</f>
        <v>25500000</v>
      </c>
      <c r="H43" s="99">
        <v>1393</v>
      </c>
      <c r="I43" s="101">
        <f>+H43*E43</f>
        <v>34825000</v>
      </c>
    </row>
    <row r="44" spans="2:9" ht="12" customHeight="1">
      <c r="B44" s="114"/>
      <c r="C44" s="84" t="s">
        <v>107</v>
      </c>
      <c r="D44" s="114" t="s">
        <v>46</v>
      </c>
      <c r="E44" s="85">
        <v>160000</v>
      </c>
      <c r="F44" s="101"/>
      <c r="G44" s="120">
        <f>+F44*E44</f>
        <v>0</v>
      </c>
      <c r="H44" s="101">
        <v>1294</v>
      </c>
      <c r="I44" s="101">
        <f>+H44*E44</f>
        <v>207040000</v>
      </c>
    </row>
    <row r="45" spans="2:9" ht="12" customHeight="1">
      <c r="B45" s="87" t="s">
        <v>13</v>
      </c>
      <c r="C45" s="88" t="s">
        <v>0</v>
      </c>
      <c r="D45" s="102"/>
      <c r="E45" s="89"/>
      <c r="F45" s="103"/>
      <c r="G45" s="103">
        <f>+G44+G43</f>
        <v>25500000</v>
      </c>
      <c r="H45" s="103"/>
      <c r="I45" s="103">
        <f>+I44+I43</f>
        <v>241865000</v>
      </c>
    </row>
    <row r="46" spans="2:9" ht="12" customHeight="1">
      <c r="B46" s="87" t="s">
        <v>88</v>
      </c>
      <c r="C46" s="88" t="s">
        <v>112</v>
      </c>
      <c r="D46" s="87"/>
      <c r="E46" s="89"/>
      <c r="F46" s="103"/>
      <c r="G46" s="103">
        <f>+G45+G42+G17</f>
        <v>179542000</v>
      </c>
      <c r="H46" s="103"/>
      <c r="I46" s="103">
        <f>+I45+I42+I17</f>
        <v>547346539</v>
      </c>
    </row>
    <row r="47" spans="2:9" ht="12" customHeight="1">
      <c r="B47" s="87"/>
      <c r="C47" s="117" t="s">
        <v>138</v>
      </c>
      <c r="D47" s="118" t="s">
        <v>50</v>
      </c>
      <c r="E47" s="119">
        <v>16000</v>
      </c>
      <c r="F47" s="120"/>
      <c r="G47" s="120">
        <f>+F47*E47</f>
        <v>0</v>
      </c>
      <c r="H47" s="120">
        <v>402</v>
      </c>
      <c r="I47" s="101">
        <f>+H47*E47</f>
        <v>6432000</v>
      </c>
    </row>
    <row r="48" spans="2:9" ht="12" customHeight="1">
      <c r="B48" s="87"/>
      <c r="C48" s="88" t="s">
        <v>139</v>
      </c>
      <c r="D48" s="87"/>
      <c r="E48" s="89"/>
      <c r="F48" s="103"/>
      <c r="G48" s="103">
        <f>+G47</f>
        <v>0</v>
      </c>
      <c r="H48" s="103"/>
      <c r="I48" s="103">
        <f>+I47</f>
        <v>6432000</v>
      </c>
    </row>
    <row r="49" spans="2:9" ht="12" customHeight="1">
      <c r="B49" s="91"/>
      <c r="C49" s="92" t="s">
        <v>119</v>
      </c>
      <c r="D49" s="93" t="s">
        <v>48</v>
      </c>
      <c r="E49" s="94">
        <v>45000</v>
      </c>
      <c r="F49" s="95"/>
      <c r="G49" s="120">
        <f>+F49*E49</f>
        <v>0</v>
      </c>
      <c r="H49" s="104">
        <v>2371.1555499999999</v>
      </c>
      <c r="I49" s="101">
        <f>+H49*E49</f>
        <v>106701999.75</v>
      </c>
    </row>
    <row r="50" spans="2:9" ht="12" customHeight="1">
      <c r="B50" s="91"/>
      <c r="C50" s="92" t="s">
        <v>140</v>
      </c>
      <c r="D50" s="93" t="s">
        <v>48</v>
      </c>
      <c r="E50" s="94">
        <v>465000</v>
      </c>
      <c r="F50" s="95"/>
      <c r="G50" s="120">
        <f t="shared" ref="G50:G52" si="12">+F50*E50</f>
        <v>0</v>
      </c>
      <c r="H50" s="95">
        <v>350</v>
      </c>
      <c r="I50" s="101">
        <f t="shared" ref="I50:I52" si="13">+H50*E50</f>
        <v>162750000</v>
      </c>
    </row>
    <row r="51" spans="2:9" ht="12" customHeight="1">
      <c r="B51" s="91"/>
      <c r="C51" s="92" t="s">
        <v>141</v>
      </c>
      <c r="D51" s="93" t="s">
        <v>48</v>
      </c>
      <c r="E51" s="94">
        <v>530000</v>
      </c>
      <c r="F51" s="95"/>
      <c r="G51" s="120">
        <f t="shared" si="12"/>
        <v>0</v>
      </c>
      <c r="H51" s="156">
        <v>31.6</v>
      </c>
      <c r="I51" s="101">
        <f t="shared" si="13"/>
        <v>16748000</v>
      </c>
    </row>
    <row r="52" spans="2:9" ht="12" customHeight="1">
      <c r="B52" s="91"/>
      <c r="C52" s="92" t="s">
        <v>154</v>
      </c>
      <c r="D52" s="93" t="s">
        <v>155</v>
      </c>
      <c r="E52" s="94">
        <v>62000</v>
      </c>
      <c r="F52" s="95">
        <v>641</v>
      </c>
      <c r="G52" s="120">
        <f t="shared" si="12"/>
        <v>39742000</v>
      </c>
      <c r="H52" s="95">
        <v>641</v>
      </c>
      <c r="I52" s="101">
        <f t="shared" si="13"/>
        <v>39742000</v>
      </c>
    </row>
    <row r="53" spans="2:9" ht="12" customHeight="1">
      <c r="B53" s="91"/>
      <c r="C53" s="105" t="s">
        <v>120</v>
      </c>
      <c r="D53" s="91"/>
      <c r="E53" s="106"/>
      <c r="F53" s="107"/>
      <c r="G53" s="107">
        <f>+G49+G50+G51+G52</f>
        <v>39742000</v>
      </c>
      <c r="H53" s="107"/>
      <c r="I53" s="108">
        <f>+I49+I50+I51+I52</f>
        <v>325941999.75</v>
      </c>
    </row>
    <row r="54" spans="2:9" ht="12" customHeight="1">
      <c r="B54" s="91"/>
      <c r="C54" s="92" t="s">
        <v>81</v>
      </c>
      <c r="D54" s="93" t="s">
        <v>52</v>
      </c>
      <c r="E54" s="94">
        <v>80000</v>
      </c>
      <c r="F54" s="95"/>
      <c r="G54" s="95">
        <f>+F54*E54</f>
        <v>0</v>
      </c>
      <c r="H54" s="95">
        <v>50</v>
      </c>
      <c r="I54" s="101">
        <f>+H54*E54</f>
        <v>4000000</v>
      </c>
    </row>
    <row r="55" spans="2:9" ht="12" customHeight="1">
      <c r="B55" s="91"/>
      <c r="C55" s="92" t="s">
        <v>99</v>
      </c>
      <c r="D55" s="93" t="s">
        <v>46</v>
      </c>
      <c r="E55" s="94">
        <v>180000</v>
      </c>
      <c r="F55" s="95"/>
      <c r="G55" s="95">
        <f t="shared" ref="G55:G64" si="14">+F55*E55</f>
        <v>0</v>
      </c>
      <c r="H55" s="95">
        <v>30</v>
      </c>
      <c r="I55" s="101">
        <f t="shared" ref="I55:I64" si="15">+H55*E55</f>
        <v>5400000</v>
      </c>
    </row>
    <row r="56" spans="2:9" ht="12" customHeight="1">
      <c r="B56" s="91"/>
      <c r="C56" s="92" t="s">
        <v>57</v>
      </c>
      <c r="D56" s="93" t="s">
        <v>121</v>
      </c>
      <c r="E56" s="94"/>
      <c r="F56" s="95"/>
      <c r="G56" s="95">
        <f t="shared" si="14"/>
        <v>0</v>
      </c>
      <c r="H56" s="95"/>
      <c r="I56" s="101">
        <v>500000</v>
      </c>
    </row>
    <row r="57" spans="2:9" ht="12" customHeight="1">
      <c r="B57" s="91"/>
      <c r="C57" s="92" t="s">
        <v>59</v>
      </c>
      <c r="D57" s="93" t="s">
        <v>46</v>
      </c>
      <c r="E57" s="94">
        <v>80000</v>
      </c>
      <c r="F57" s="95"/>
      <c r="G57" s="95">
        <f t="shared" si="14"/>
        <v>0</v>
      </c>
      <c r="H57" s="95">
        <v>28</v>
      </c>
      <c r="I57" s="101">
        <f t="shared" si="15"/>
        <v>2240000</v>
      </c>
    </row>
    <row r="58" spans="2:9" ht="12" customHeight="1">
      <c r="B58" s="91"/>
      <c r="C58" s="92" t="s">
        <v>126</v>
      </c>
      <c r="D58" s="93" t="s">
        <v>62</v>
      </c>
      <c r="E58" s="94">
        <v>25000</v>
      </c>
      <c r="F58" s="95"/>
      <c r="G58" s="95">
        <f t="shared" si="14"/>
        <v>0</v>
      </c>
      <c r="H58" s="95">
        <v>2000</v>
      </c>
      <c r="I58" s="101">
        <f t="shared" si="15"/>
        <v>50000000</v>
      </c>
    </row>
    <row r="59" spans="2:9" ht="12" customHeight="1">
      <c r="B59" s="91"/>
      <c r="C59" s="92" t="s">
        <v>60</v>
      </c>
      <c r="D59" s="93" t="s">
        <v>61</v>
      </c>
      <c r="E59" s="94">
        <v>2600</v>
      </c>
      <c r="F59" s="95">
        <v>400</v>
      </c>
      <c r="G59" s="95">
        <f t="shared" si="14"/>
        <v>1040000</v>
      </c>
      <c r="H59" s="95">
        <v>600</v>
      </c>
      <c r="I59" s="101">
        <f t="shared" si="15"/>
        <v>1560000</v>
      </c>
    </row>
    <row r="60" spans="2:9" ht="12" customHeight="1">
      <c r="B60" s="91"/>
      <c r="C60" s="92" t="s">
        <v>142</v>
      </c>
      <c r="D60" s="93" t="s">
        <v>83</v>
      </c>
      <c r="E60" s="94">
        <v>63800</v>
      </c>
      <c r="F60" s="95">
        <v>5</v>
      </c>
      <c r="G60" s="95">
        <f t="shared" si="14"/>
        <v>319000</v>
      </c>
      <c r="H60" s="95">
        <v>15</v>
      </c>
      <c r="I60" s="101">
        <f t="shared" si="15"/>
        <v>957000</v>
      </c>
    </row>
    <row r="61" spans="2:9" ht="12" customHeight="1">
      <c r="B61" s="114"/>
      <c r="C61" s="109" t="s">
        <v>84</v>
      </c>
      <c r="D61" s="114" t="s">
        <v>62</v>
      </c>
      <c r="E61" s="85">
        <v>215592</v>
      </c>
      <c r="F61" s="101"/>
      <c r="G61" s="95">
        <f t="shared" si="14"/>
        <v>0</v>
      </c>
      <c r="H61" s="101">
        <v>3</v>
      </c>
      <c r="I61" s="101">
        <f t="shared" si="15"/>
        <v>646776</v>
      </c>
    </row>
    <row r="62" spans="2:9" ht="12" customHeight="1">
      <c r="B62" s="114"/>
      <c r="C62" s="109" t="s">
        <v>63</v>
      </c>
      <c r="D62" s="114" t="s">
        <v>62</v>
      </c>
      <c r="E62" s="85">
        <v>275200</v>
      </c>
      <c r="F62" s="101"/>
      <c r="G62" s="95">
        <f t="shared" si="14"/>
        <v>0</v>
      </c>
      <c r="H62" s="101">
        <v>1</v>
      </c>
      <c r="I62" s="101">
        <f t="shared" si="15"/>
        <v>275200</v>
      </c>
    </row>
    <row r="63" spans="2:9" ht="12" customHeight="1">
      <c r="B63" s="114"/>
      <c r="C63" s="109" t="s">
        <v>64</v>
      </c>
      <c r="D63" s="114" t="s">
        <v>62</v>
      </c>
      <c r="E63" s="85">
        <v>444312</v>
      </c>
      <c r="F63" s="101"/>
      <c r="G63" s="95">
        <f t="shared" si="14"/>
        <v>0</v>
      </c>
      <c r="H63" s="101">
        <v>1</v>
      </c>
      <c r="I63" s="101">
        <f t="shared" si="15"/>
        <v>444312</v>
      </c>
    </row>
    <row r="64" spans="2:9" ht="12" customHeight="1">
      <c r="B64" s="114"/>
      <c r="C64" s="109" t="s">
        <v>65</v>
      </c>
      <c r="D64" s="114" t="s">
        <v>62</v>
      </c>
      <c r="E64" s="85">
        <v>275200</v>
      </c>
      <c r="F64" s="101"/>
      <c r="G64" s="95">
        <f t="shared" si="14"/>
        <v>0</v>
      </c>
      <c r="H64" s="101">
        <v>1</v>
      </c>
      <c r="I64" s="101">
        <f t="shared" si="15"/>
        <v>275200</v>
      </c>
    </row>
    <row r="65" spans="2:9" ht="12" customHeight="1">
      <c r="B65" s="87" t="s">
        <v>14</v>
      </c>
      <c r="C65" s="88" t="s">
        <v>40</v>
      </c>
      <c r="D65" s="87"/>
      <c r="E65" s="89"/>
      <c r="F65" s="103"/>
      <c r="G65" s="103">
        <f>SUM(G54:G64)</f>
        <v>1359000</v>
      </c>
      <c r="H65" s="103"/>
      <c r="I65" s="103">
        <f>SUM(I54:I64)</f>
        <v>66298488</v>
      </c>
    </row>
    <row r="66" spans="2:9" ht="12" customHeight="1">
      <c r="B66" s="87" t="s">
        <v>89</v>
      </c>
      <c r="C66" s="88" t="s">
        <v>113</v>
      </c>
      <c r="D66" s="87"/>
      <c r="E66" s="89"/>
      <c r="F66" s="103"/>
      <c r="G66" s="103">
        <f>+G65+G53+G48</f>
        <v>41101000</v>
      </c>
      <c r="H66" s="103"/>
      <c r="I66" s="90">
        <f>+I65+I53+I48</f>
        <v>398672487.75</v>
      </c>
    </row>
    <row r="67" spans="2:9" ht="12" customHeight="1">
      <c r="B67" s="87" t="s">
        <v>18</v>
      </c>
      <c r="C67" s="88" t="s">
        <v>114</v>
      </c>
      <c r="D67" s="87"/>
      <c r="E67" s="89"/>
      <c r="F67" s="103"/>
      <c r="G67" s="103">
        <f>G66+G46</f>
        <v>220643000</v>
      </c>
      <c r="H67" s="103"/>
      <c r="I67" s="90">
        <f>I66+I46</f>
        <v>946019026.75</v>
      </c>
    </row>
    <row r="68" spans="2:9" ht="12" customHeight="1">
      <c r="B68" s="87" t="s">
        <v>19</v>
      </c>
      <c r="C68" s="121" t="s">
        <v>11</v>
      </c>
      <c r="D68" s="122"/>
      <c r="E68" s="123"/>
      <c r="F68" s="125"/>
      <c r="G68" s="125">
        <f>G67*0.1</f>
        <v>22064300</v>
      </c>
      <c r="H68" s="125"/>
      <c r="I68" s="124">
        <f t="shared" ref="I68" si="16">I67*0.1</f>
        <v>94601902.675000012</v>
      </c>
    </row>
    <row r="69" spans="2:9" ht="12" customHeight="1">
      <c r="B69" s="87" t="s">
        <v>90</v>
      </c>
      <c r="C69" s="88" t="s">
        <v>115</v>
      </c>
      <c r="D69" s="87"/>
      <c r="E69" s="89"/>
      <c r="F69" s="97"/>
      <c r="G69" s="97">
        <f>G67+G68</f>
        <v>242707300</v>
      </c>
      <c r="H69" s="97"/>
      <c r="I69" s="98">
        <f t="shared" ref="I69" si="17">I67+I68</f>
        <v>1040620929.425</v>
      </c>
    </row>
    <row r="70" spans="2:9" ht="9.75" customHeight="1">
      <c r="B70" s="16"/>
      <c r="C70" s="17"/>
      <c r="D70" s="16"/>
      <c r="E70" s="18"/>
      <c r="F70" s="19"/>
      <c r="G70" s="18"/>
      <c r="H70" s="18"/>
      <c r="I70" s="18"/>
    </row>
    <row r="71" spans="2:9" ht="15">
      <c r="C71" s="2" t="s">
        <v>5</v>
      </c>
    </row>
    <row r="72" spans="2:9">
      <c r="C72" s="1" t="s">
        <v>66</v>
      </c>
      <c r="G72" s="126" t="s">
        <v>111</v>
      </c>
      <c r="H72" s="126"/>
    </row>
    <row r="73" spans="2:9">
      <c r="G73" s="112"/>
      <c r="H73" s="112"/>
    </row>
    <row r="74" spans="2:9">
      <c r="C74" s="1" t="s">
        <v>67</v>
      </c>
      <c r="G74" s="126" t="s">
        <v>127</v>
      </c>
      <c r="H74" s="126"/>
    </row>
    <row r="75" spans="2:9">
      <c r="G75" s="112"/>
      <c r="H75" s="112"/>
    </row>
    <row r="76" spans="2:9">
      <c r="C76" s="3" t="s">
        <v>71</v>
      </c>
      <c r="G76" s="126" t="s">
        <v>116</v>
      </c>
      <c r="H76" s="126"/>
    </row>
    <row r="78" spans="2:9" ht="15">
      <c r="C78" s="2" t="s">
        <v>1</v>
      </c>
    </row>
    <row r="79" spans="2:9" ht="13.5" customHeight="1">
      <c r="C79" s="1" t="s">
        <v>35</v>
      </c>
      <c r="G79" s="1" t="s">
        <v>45</v>
      </c>
    </row>
    <row r="80" spans="2:9" ht="15">
      <c r="C80" s="2" t="s">
        <v>2</v>
      </c>
    </row>
    <row r="81" spans="3:8" ht="15.75" customHeight="1">
      <c r="C81" s="1" t="s">
        <v>34</v>
      </c>
      <c r="G81" s="126" t="s">
        <v>75</v>
      </c>
      <c r="H81" s="126"/>
    </row>
    <row r="82" spans="3:8" ht="15.75" customHeight="1">
      <c r="G82" s="112"/>
      <c r="H82" s="112"/>
    </row>
    <row r="83" spans="3:8" ht="15.75" customHeight="1">
      <c r="C83" s="1" t="s">
        <v>34</v>
      </c>
      <c r="G83" s="1" t="s">
        <v>44</v>
      </c>
    </row>
  </sheetData>
  <mergeCells count="18">
    <mergeCell ref="G72:H72"/>
    <mergeCell ref="G74:H74"/>
    <mergeCell ref="G76:H76"/>
    <mergeCell ref="G81:H81"/>
    <mergeCell ref="B8:I8"/>
    <mergeCell ref="B10:I10"/>
    <mergeCell ref="B12:B13"/>
    <mergeCell ref="C12:C13"/>
    <mergeCell ref="D12:D13"/>
    <mergeCell ref="E12:E13"/>
    <mergeCell ref="F12:G12"/>
    <mergeCell ref="H12:I12"/>
    <mergeCell ref="B1:I1"/>
    <mergeCell ref="B2:I2"/>
    <mergeCell ref="B3:I3"/>
    <mergeCell ref="C5:I5"/>
    <mergeCell ref="C6:I6"/>
    <mergeCell ref="E7:H7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2023.01</vt:lpstr>
      <vt:lpstr>2023.2</vt:lpstr>
      <vt:lpstr>2023.3</vt:lpstr>
      <vt:lpstr>2023.4</vt:lpstr>
      <vt:lpstr>2023.5</vt:lpstr>
      <vt:lpstr>2023.6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2023-06-20T10:43:49Z</cp:lastPrinted>
  <dcterms:created xsi:type="dcterms:W3CDTF">2014-01-15T06:30:10Z</dcterms:created>
  <dcterms:modified xsi:type="dcterms:W3CDTF">2023-06-20T11:01:22Z</dcterms:modified>
</cp:coreProperties>
</file>