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MEZO-KAINOZOI-2021_2023\Гүйцэтгэл\2023\"/>
    </mc:Choice>
  </mc:AlternateContent>
  <bookViews>
    <workbookView xWindow="0" yWindow="0" windowWidth="28800" windowHeight="11655" firstSheet="4" activeTab="9"/>
  </bookViews>
  <sheets>
    <sheet name="Төсөв" sheetId="16" state="hidden" r:id="rId1"/>
    <sheet name="Хянав_23" sheetId="45" r:id="rId2"/>
    <sheet name="Тодотгол_2023_хавсралт_2" sheetId="40" r:id="rId3"/>
    <sheet name="Тодотгол_2023_хавсралт_3_FINAl " sheetId="39" state="hidden" r:id="rId4"/>
    <sheet name="Гүйцэтгэл_2023_1 сар " sheetId="41" r:id="rId5"/>
    <sheet name="Гүйцэтгэл_2023_2_3 сар " sheetId="43" r:id="rId6"/>
    <sheet name="Гүйцэтгэл_2023_4 сар" sheetId="44" r:id="rId7"/>
    <sheet name="Гүйцэтгэл_2023_5 сар" sheetId="46" r:id="rId8"/>
    <sheet name="Гүйцэтгэл_2023_6 сар " sheetId="47" r:id="rId9"/>
    <sheet name="Гүйцэтгэл_2023_7 сар" sheetId="48" r:id="rId10"/>
  </sheets>
  <externalReferences>
    <externalReference r:id="rId11"/>
  </externalReferences>
  <definedNames>
    <definedName name="_xlnm.Print_Titles" localSheetId="4">'Гүйцэтгэл_2023_1 сар '!$10:$10</definedName>
    <definedName name="_xlnm.Print_Titles" localSheetId="5">'Гүйцэтгэл_2023_2_3 сар '!$10:$10</definedName>
    <definedName name="_xlnm.Print_Titles" localSheetId="6">'Гүйцэтгэл_2023_4 сар'!$10:$10</definedName>
    <definedName name="_xlnm.Print_Titles" localSheetId="7">'Гүйцэтгэл_2023_5 сар'!$10:$10</definedName>
    <definedName name="_xlnm.Print_Titles" localSheetId="8">'Гүйцэтгэл_2023_6 сар '!$10:$10</definedName>
    <definedName name="_xlnm.Print_Titles" localSheetId="9">'Гүйцэтгэл_2023_7 сар'!$10:$10</definedName>
    <definedName name="_xlnm.Print_Titles" localSheetId="2">Тодотгол_2023_хавсралт_2!$10:$10</definedName>
    <definedName name="_xlnm.Print_Titles" localSheetId="3">'Тодотгол_2023_хавсралт_3_FINAl '!$8:$8</definedName>
    <definedName name="_xlnm.Print_Titles" localSheetId="0">Төсөв!$7:$7</definedName>
    <definedName name="_xlnm.Print_Titles" localSheetId="1">Хянав_23!$8:$8</definedName>
  </definedNames>
  <calcPr calcId="162913"/>
</workbook>
</file>

<file path=xl/calcChain.xml><?xml version="1.0" encoding="utf-8"?>
<calcChain xmlns="http://schemas.openxmlformats.org/spreadsheetml/2006/main">
  <c r="I32" i="48" l="1"/>
  <c r="H25" i="48"/>
  <c r="I25" i="48" s="1"/>
  <c r="H20" i="48"/>
  <c r="H19" i="48"/>
  <c r="J19" i="48" s="1"/>
  <c r="H18" i="48"/>
  <c r="I18" i="48" s="1"/>
  <c r="K18" i="48" s="1"/>
  <c r="H17" i="48"/>
  <c r="J17" i="48" s="1"/>
  <c r="H16" i="48"/>
  <c r="H13" i="48"/>
  <c r="J13" i="48" s="1"/>
  <c r="H11" i="48"/>
  <c r="J11" i="48" s="1"/>
  <c r="J31" i="48"/>
  <c r="J30" i="48"/>
  <c r="J29" i="48"/>
  <c r="K28" i="48"/>
  <c r="J28" i="48"/>
  <c r="J27" i="48"/>
  <c r="J26" i="48"/>
  <c r="G26" i="48"/>
  <c r="G27" i="48" s="1"/>
  <c r="G25" i="48"/>
  <c r="J24" i="48"/>
  <c r="J23" i="48"/>
  <c r="J22" i="48"/>
  <c r="I22" i="48"/>
  <c r="K22" i="48" s="1"/>
  <c r="H22" i="48"/>
  <c r="G22" i="48"/>
  <c r="E22" i="48"/>
  <c r="H21" i="48"/>
  <c r="I21" i="48" s="1"/>
  <c r="K21" i="48" s="1"/>
  <c r="E21" i="48"/>
  <c r="G21" i="48" s="1"/>
  <c r="J20" i="48"/>
  <c r="I20" i="48"/>
  <c r="K20" i="48" s="1"/>
  <c r="G20" i="48"/>
  <c r="E20" i="48"/>
  <c r="G19" i="48"/>
  <c r="G18" i="48"/>
  <c r="E17" i="48"/>
  <c r="G17" i="48" s="1"/>
  <c r="J16" i="48"/>
  <c r="G16" i="48"/>
  <c r="E16" i="48"/>
  <c r="J15" i="48"/>
  <c r="J14" i="48"/>
  <c r="G13" i="48"/>
  <c r="G14" i="48" s="1"/>
  <c r="G15" i="48" s="1"/>
  <c r="J12" i="48"/>
  <c r="G11" i="48"/>
  <c r="G12" i="48" s="1"/>
  <c r="G23" i="48" l="1"/>
  <c r="I13" i="48"/>
  <c r="I14" i="48" s="1"/>
  <c r="I15" i="48" s="1"/>
  <c r="K15" i="48" s="1"/>
  <c r="I26" i="48"/>
  <c r="K25" i="48"/>
  <c r="G24" i="48"/>
  <c r="G29" i="48" s="1"/>
  <c r="I16" i="48"/>
  <c r="J18" i="48"/>
  <c r="J25" i="48"/>
  <c r="I11" i="48"/>
  <c r="J21" i="48"/>
  <c r="I17" i="48"/>
  <c r="K17" i="48" s="1"/>
  <c r="I19" i="48"/>
  <c r="K19" i="48" s="1"/>
  <c r="I13" i="47"/>
  <c r="G13" i="47"/>
  <c r="K13" i="48" l="1"/>
  <c r="K14" i="48"/>
  <c r="I27" i="48"/>
  <c r="K26" i="48"/>
  <c r="I12" i="48"/>
  <c r="K12" i="48" s="1"/>
  <c r="K11" i="48"/>
  <c r="I23" i="48"/>
  <c r="K16" i="48"/>
  <c r="G30" i="48"/>
  <c r="G31" i="48" s="1"/>
  <c r="H25" i="47"/>
  <c r="H20" i="47"/>
  <c r="H19" i="47"/>
  <c r="I19" i="47" s="1"/>
  <c r="K19" i="47" s="1"/>
  <c r="H18" i="47"/>
  <c r="J18" i="47" s="1"/>
  <c r="H17" i="47"/>
  <c r="J17" i="47" s="1"/>
  <c r="H16" i="47"/>
  <c r="I16" i="47" s="1"/>
  <c r="H11" i="47"/>
  <c r="J11" i="47" s="1"/>
  <c r="J31" i="47"/>
  <c r="J30" i="47"/>
  <c r="J29" i="47"/>
  <c r="K28" i="47"/>
  <c r="J28" i="47"/>
  <c r="J27" i="47"/>
  <c r="J26" i="47"/>
  <c r="G26" i="47"/>
  <c r="G27" i="47" s="1"/>
  <c r="J25" i="47"/>
  <c r="G25" i="47"/>
  <c r="J24" i="47"/>
  <c r="J23" i="47"/>
  <c r="H22" i="47"/>
  <c r="J22" i="47" s="1"/>
  <c r="E22" i="47"/>
  <c r="G22" i="47" s="1"/>
  <c r="H21" i="47"/>
  <c r="J21" i="47" s="1"/>
  <c r="G21" i="47"/>
  <c r="E21" i="47"/>
  <c r="J20" i="47"/>
  <c r="E20" i="47"/>
  <c r="G20" i="47" s="1"/>
  <c r="G19" i="47"/>
  <c r="G18" i="47"/>
  <c r="E17" i="47"/>
  <c r="G17" i="47" s="1"/>
  <c r="J16" i="47"/>
  <c r="E16" i="47"/>
  <c r="G16" i="47" s="1"/>
  <c r="J15" i="47"/>
  <c r="J14" i="47"/>
  <c r="H13" i="47"/>
  <c r="G14" i="47"/>
  <c r="G15" i="47" s="1"/>
  <c r="J12" i="47"/>
  <c r="G12" i="47"/>
  <c r="G11" i="47"/>
  <c r="I24" i="48" l="1"/>
  <c r="K24" i="48" s="1"/>
  <c r="K23" i="48"/>
  <c r="K27" i="48"/>
  <c r="J13" i="47"/>
  <c r="I17" i="47"/>
  <c r="K17" i="47" s="1"/>
  <c r="I11" i="47"/>
  <c r="G23" i="47"/>
  <c r="G24" i="47" s="1"/>
  <c r="G29" i="47" s="1"/>
  <c r="K16" i="47"/>
  <c r="I21" i="47"/>
  <c r="K21" i="47" s="1"/>
  <c r="J19" i="47"/>
  <c r="I22" i="47"/>
  <c r="K22" i="47" s="1"/>
  <c r="I18" i="47"/>
  <c r="K18" i="47" s="1"/>
  <c r="I25" i="47"/>
  <c r="I20" i="47"/>
  <c r="K20" i="47" s="1"/>
  <c r="H13" i="46"/>
  <c r="I29" i="48" l="1"/>
  <c r="I12" i="47"/>
  <c r="K12" i="47" s="1"/>
  <c r="K11" i="47"/>
  <c r="K25" i="47"/>
  <c r="I26" i="47"/>
  <c r="I23" i="47"/>
  <c r="K13" i="47"/>
  <c r="I14" i="47"/>
  <c r="G30" i="47"/>
  <c r="G31" i="47" s="1"/>
  <c r="H25" i="46"/>
  <c r="J25" i="46" s="1"/>
  <c r="H22" i="46"/>
  <c r="J22" i="46" s="1"/>
  <c r="H21" i="46"/>
  <c r="H20" i="46"/>
  <c r="I20" i="46" s="1"/>
  <c r="K20" i="46" s="1"/>
  <c r="H19" i="46"/>
  <c r="J19" i="46" s="1"/>
  <c r="H18" i="46"/>
  <c r="J18" i="46" s="1"/>
  <c r="H17" i="46"/>
  <c r="H16" i="46"/>
  <c r="J17" i="46"/>
  <c r="H11" i="46"/>
  <c r="J31" i="46"/>
  <c r="J30" i="46"/>
  <c r="J29" i="46"/>
  <c r="K28" i="46"/>
  <c r="J28" i="46"/>
  <c r="J27" i="46"/>
  <c r="J26" i="46"/>
  <c r="G26" i="46"/>
  <c r="G27" i="46" s="1"/>
  <c r="G25" i="46"/>
  <c r="J24" i="46"/>
  <c r="J23" i="46"/>
  <c r="E22" i="46"/>
  <c r="G22" i="46" s="1"/>
  <c r="J21" i="46"/>
  <c r="G21" i="46"/>
  <c r="E21" i="46"/>
  <c r="E20" i="46"/>
  <c r="G20" i="46" s="1"/>
  <c r="G19" i="46"/>
  <c r="G18" i="46"/>
  <c r="E17" i="46"/>
  <c r="G17" i="46" s="1"/>
  <c r="J16" i="46"/>
  <c r="E16" i="46"/>
  <c r="G16" i="46" s="1"/>
  <c r="J15" i="46"/>
  <c r="J14" i="46"/>
  <c r="J13" i="46"/>
  <c r="I13" i="46"/>
  <c r="I14" i="46" s="1"/>
  <c r="I15" i="46" s="1"/>
  <c r="K15" i="46" s="1"/>
  <c r="G13" i="46"/>
  <c r="G14" i="46" s="1"/>
  <c r="G15" i="46" s="1"/>
  <c r="J12" i="46"/>
  <c r="I11" i="46"/>
  <c r="G11" i="46"/>
  <c r="G12" i="46" s="1"/>
  <c r="K29" i="48" l="1"/>
  <c r="I30" i="48"/>
  <c r="K30" i="48" s="1"/>
  <c r="I15" i="47"/>
  <c r="K15" i="47" s="1"/>
  <c r="K14" i="47"/>
  <c r="I24" i="47"/>
  <c r="K24" i="47" s="1"/>
  <c r="K23" i="47"/>
  <c r="I27" i="47"/>
  <c r="K26" i="47"/>
  <c r="K13" i="46"/>
  <c r="I25" i="46"/>
  <c r="I18" i="46"/>
  <c r="K18" i="46" s="1"/>
  <c r="I22" i="46"/>
  <c r="K22" i="46" s="1"/>
  <c r="J20" i="46"/>
  <c r="G23" i="46"/>
  <c r="G24" i="46" s="1"/>
  <c r="G29" i="46" s="1"/>
  <c r="K11" i="46"/>
  <c r="I12" i="46"/>
  <c r="K12" i="46" s="1"/>
  <c r="J11" i="46"/>
  <c r="I19" i="46"/>
  <c r="K19" i="46" s="1"/>
  <c r="K14" i="46"/>
  <c r="I21" i="46"/>
  <c r="K21" i="46" s="1"/>
  <c r="I17" i="46"/>
  <c r="K17" i="46" s="1"/>
  <c r="I16" i="46"/>
  <c r="P10" i="45"/>
  <c r="Q10" i="45"/>
  <c r="P11" i="45"/>
  <c r="Q11" i="45"/>
  <c r="P12" i="45"/>
  <c r="Q12" i="45"/>
  <c r="P13" i="45"/>
  <c r="Q13" i="45"/>
  <c r="P14" i="45"/>
  <c r="Q14" i="45"/>
  <c r="P15" i="45"/>
  <c r="Q15" i="45"/>
  <c r="P16" i="45"/>
  <c r="Q16" i="45"/>
  <c r="P17" i="45"/>
  <c r="Q17" i="45"/>
  <c r="P18" i="45"/>
  <c r="Q18" i="45"/>
  <c r="P19" i="45"/>
  <c r="Q19" i="45"/>
  <c r="P20" i="45"/>
  <c r="Q20" i="45"/>
  <c r="P21" i="45"/>
  <c r="Q21" i="45"/>
  <c r="P22" i="45"/>
  <c r="Q22" i="45"/>
  <c r="P23" i="45"/>
  <c r="Q23" i="45"/>
  <c r="P24" i="45"/>
  <c r="Q24" i="45"/>
  <c r="P25" i="45"/>
  <c r="Q25" i="45"/>
  <c r="P26" i="45"/>
  <c r="Q26" i="45"/>
  <c r="P27" i="45"/>
  <c r="Q27" i="45"/>
  <c r="P28" i="45"/>
  <c r="Q28" i="45"/>
  <c r="P29" i="45"/>
  <c r="Q29" i="45"/>
  <c r="P30" i="45"/>
  <c r="Q30" i="45"/>
  <c r="P31" i="45"/>
  <c r="Q31" i="45"/>
  <c r="P32" i="45"/>
  <c r="Q32" i="45"/>
  <c r="P33" i="45"/>
  <c r="Q33" i="45"/>
  <c r="P34" i="45"/>
  <c r="Q34" i="45"/>
  <c r="P35" i="45"/>
  <c r="Q35" i="45"/>
  <c r="P36" i="45"/>
  <c r="Q36" i="45"/>
  <c r="P37" i="45"/>
  <c r="Q37" i="45"/>
  <c r="P38" i="45"/>
  <c r="Q38" i="45"/>
  <c r="P39" i="45"/>
  <c r="Q39" i="45"/>
  <c r="P40" i="45"/>
  <c r="Q40" i="45"/>
  <c r="P41" i="45"/>
  <c r="Q41" i="45"/>
  <c r="P42" i="45"/>
  <c r="Q42" i="45"/>
  <c r="P43" i="45"/>
  <c r="Q43" i="45"/>
  <c r="P44" i="45"/>
  <c r="Q44" i="45"/>
  <c r="P45" i="45"/>
  <c r="Q45" i="45"/>
  <c r="P46" i="45"/>
  <c r="Q46" i="45"/>
  <c r="P47" i="45"/>
  <c r="Q47" i="45"/>
  <c r="P48" i="45"/>
  <c r="Q48" i="45"/>
  <c r="P49" i="45"/>
  <c r="Q49" i="45"/>
  <c r="P50" i="45"/>
  <c r="Q50" i="45"/>
  <c r="P51" i="45"/>
  <c r="Q51" i="45"/>
  <c r="P52" i="45"/>
  <c r="Q52" i="45"/>
  <c r="P53" i="45"/>
  <c r="Q53" i="45"/>
  <c r="P54" i="45"/>
  <c r="Q54" i="45"/>
  <c r="P55" i="45"/>
  <c r="Q55" i="45"/>
  <c r="P56" i="45"/>
  <c r="Q56" i="45"/>
  <c r="P57" i="45"/>
  <c r="Q57" i="45"/>
  <c r="P58" i="45"/>
  <c r="Q58" i="45"/>
  <c r="P59" i="45"/>
  <c r="Q59" i="45"/>
  <c r="P60" i="45"/>
  <c r="Q60" i="45"/>
  <c r="P61" i="45"/>
  <c r="Q61" i="45"/>
  <c r="P62" i="45"/>
  <c r="Q62" i="45"/>
  <c r="P63" i="45"/>
  <c r="Q63" i="45"/>
  <c r="P64" i="45"/>
  <c r="Q64" i="45"/>
  <c r="P65" i="45"/>
  <c r="Q65" i="45"/>
  <c r="P66" i="45"/>
  <c r="Q66" i="45"/>
  <c r="P67" i="45"/>
  <c r="Q67" i="45"/>
  <c r="P68" i="45"/>
  <c r="Q68" i="45"/>
  <c r="P69" i="45"/>
  <c r="Q69" i="45"/>
  <c r="P70" i="45"/>
  <c r="Q70" i="45"/>
  <c r="P71" i="45"/>
  <c r="Q71" i="45"/>
  <c r="P72" i="45"/>
  <c r="Q72" i="45"/>
  <c r="P73" i="45"/>
  <c r="Q73" i="45"/>
  <c r="P74" i="45"/>
  <c r="Q74" i="45"/>
  <c r="P75" i="45"/>
  <c r="Q75" i="45"/>
  <c r="P76" i="45"/>
  <c r="Q76" i="45"/>
  <c r="Q9" i="45"/>
  <c r="P9" i="45"/>
  <c r="O68" i="45"/>
  <c r="G64" i="45"/>
  <c r="N63" i="45"/>
  <c r="O63" i="45" s="1"/>
  <c r="K63" i="45"/>
  <c r="I63" i="45"/>
  <c r="G63" i="45"/>
  <c r="N62" i="45"/>
  <c r="O62" i="45" s="1"/>
  <c r="K62" i="45"/>
  <c r="I62" i="45"/>
  <c r="G62" i="45"/>
  <c r="N61" i="45"/>
  <c r="O61" i="45" s="1"/>
  <c r="K61" i="45"/>
  <c r="I61" i="45"/>
  <c r="G61" i="45"/>
  <c r="O60" i="45"/>
  <c r="N60" i="45"/>
  <c r="M60" i="45"/>
  <c r="K60" i="45"/>
  <c r="I60" i="45"/>
  <c r="G60" i="45"/>
  <c r="N59" i="45"/>
  <c r="O59" i="45" s="1"/>
  <c r="M59" i="45"/>
  <c r="M64" i="45" s="1"/>
  <c r="K59" i="45"/>
  <c r="K64" i="45" s="1"/>
  <c r="I59" i="45"/>
  <c r="I64" i="45" s="1"/>
  <c r="G59" i="45"/>
  <c r="F58" i="45"/>
  <c r="N57" i="45"/>
  <c r="O57" i="45" s="1"/>
  <c r="M57" i="45"/>
  <c r="K57" i="45"/>
  <c r="I57" i="45"/>
  <c r="G57" i="45"/>
  <c r="O56" i="45"/>
  <c r="N56" i="45"/>
  <c r="M56" i="45"/>
  <c r="K56" i="45"/>
  <c r="I56" i="45"/>
  <c r="G56" i="45"/>
  <c r="N55" i="45"/>
  <c r="O55" i="45" s="1"/>
  <c r="M55" i="45"/>
  <c r="K55" i="45"/>
  <c r="I55" i="45"/>
  <c r="I58" i="45" s="1"/>
  <c r="G55" i="45"/>
  <c r="O54" i="45"/>
  <c r="N54" i="45"/>
  <c r="M54" i="45"/>
  <c r="M58" i="45" s="1"/>
  <c r="K54" i="45"/>
  <c r="K58" i="45" s="1"/>
  <c r="K65" i="45" s="1"/>
  <c r="I54" i="45"/>
  <c r="G54" i="45"/>
  <c r="G58" i="45" s="1"/>
  <c r="G65" i="45" s="1"/>
  <c r="N52" i="45"/>
  <c r="O52" i="45" s="1"/>
  <c r="M52" i="45"/>
  <c r="K52" i="45"/>
  <c r="I52" i="45"/>
  <c r="G52" i="45"/>
  <c r="M51" i="45"/>
  <c r="K51" i="45"/>
  <c r="I51" i="45"/>
  <c r="G51" i="45"/>
  <c r="O50" i="45"/>
  <c r="N50" i="45"/>
  <c r="K50" i="45"/>
  <c r="I50" i="45"/>
  <c r="G50" i="45"/>
  <c r="O49" i="45"/>
  <c r="N49" i="45"/>
  <c r="M49" i="45"/>
  <c r="K49" i="45"/>
  <c r="I49" i="45"/>
  <c r="G49" i="45"/>
  <c r="N48" i="45"/>
  <c r="O48" i="45" s="1"/>
  <c r="O51" i="45" s="1"/>
  <c r="M48" i="45"/>
  <c r="K48" i="45"/>
  <c r="I48" i="45"/>
  <c r="G48" i="45"/>
  <c r="N46" i="45"/>
  <c r="O46" i="45" s="1"/>
  <c r="M46" i="45"/>
  <c r="I46" i="45"/>
  <c r="E46" i="45"/>
  <c r="K46" i="45" s="1"/>
  <c r="N45" i="45"/>
  <c r="E45" i="45"/>
  <c r="O45" i="45" s="1"/>
  <c r="O44" i="45"/>
  <c r="N44" i="45"/>
  <c r="M44" i="45"/>
  <c r="I44" i="45"/>
  <c r="G44" i="45"/>
  <c r="E44" i="45"/>
  <c r="K44" i="45" s="1"/>
  <c r="N43" i="45"/>
  <c r="O43" i="45" s="1"/>
  <c r="M43" i="45"/>
  <c r="K43" i="45"/>
  <c r="I43" i="45"/>
  <c r="G43" i="45"/>
  <c r="N42" i="45"/>
  <c r="O42" i="45" s="1"/>
  <c r="M42" i="45"/>
  <c r="K42" i="45"/>
  <c r="I42" i="45"/>
  <c r="G42" i="45"/>
  <c r="N41" i="45"/>
  <c r="O41" i="45" s="1"/>
  <c r="M41" i="45"/>
  <c r="K41" i="45"/>
  <c r="I41" i="45"/>
  <c r="G41" i="45"/>
  <c r="E41" i="45"/>
  <c r="N40" i="45"/>
  <c r="E40" i="45"/>
  <c r="O40" i="45" s="1"/>
  <c r="N39" i="45"/>
  <c r="O39" i="45" s="1"/>
  <c r="M39" i="45"/>
  <c r="K39" i="45"/>
  <c r="I39" i="45"/>
  <c r="G39" i="45"/>
  <c r="F39" i="45"/>
  <c r="M38" i="45"/>
  <c r="F38" i="45"/>
  <c r="E38" i="45"/>
  <c r="N37" i="45"/>
  <c r="O37" i="45" s="1"/>
  <c r="M37" i="45"/>
  <c r="K37" i="45"/>
  <c r="I37" i="45"/>
  <c r="G37" i="45"/>
  <c r="O36" i="45"/>
  <c r="N36" i="45"/>
  <c r="M36" i="45"/>
  <c r="K36" i="45"/>
  <c r="I36" i="45"/>
  <c r="G36" i="45"/>
  <c r="N35" i="45"/>
  <c r="O35" i="45" s="1"/>
  <c r="M35" i="45"/>
  <c r="K35" i="45"/>
  <c r="I35" i="45"/>
  <c r="G35" i="45"/>
  <c r="O34" i="45"/>
  <c r="N34" i="45"/>
  <c r="M34" i="45"/>
  <c r="K34" i="45"/>
  <c r="I34" i="45"/>
  <c r="G34" i="45"/>
  <c r="N33" i="45"/>
  <c r="O33" i="45" s="1"/>
  <c r="M33" i="45"/>
  <c r="K33" i="45"/>
  <c r="I33" i="45"/>
  <c r="G33" i="45"/>
  <c r="O32" i="45"/>
  <c r="N32" i="45"/>
  <c r="M32" i="45"/>
  <c r="K32" i="45"/>
  <c r="I32" i="45"/>
  <c r="G32" i="45"/>
  <c r="N31" i="45"/>
  <c r="O31" i="45" s="1"/>
  <c r="M31" i="45"/>
  <c r="K31" i="45"/>
  <c r="I31" i="45"/>
  <c r="G31" i="45"/>
  <c r="O30" i="45"/>
  <c r="N30" i="45"/>
  <c r="M30" i="45"/>
  <c r="K30" i="45"/>
  <c r="K38" i="45" s="1"/>
  <c r="I30" i="45"/>
  <c r="I38" i="45" s="1"/>
  <c r="G30" i="45"/>
  <c r="G38" i="45" s="1"/>
  <c r="N27" i="45"/>
  <c r="O27" i="45" s="1"/>
  <c r="K27" i="45"/>
  <c r="I27" i="45"/>
  <c r="G27" i="45"/>
  <c r="O26" i="45"/>
  <c r="N26" i="45"/>
  <c r="K26" i="45"/>
  <c r="I26" i="45"/>
  <c r="G26" i="45"/>
  <c r="N25" i="45"/>
  <c r="O25" i="45" s="1"/>
  <c r="K25" i="45"/>
  <c r="I25" i="45"/>
  <c r="G25" i="45"/>
  <c r="K24" i="45"/>
  <c r="I24" i="45"/>
  <c r="F24" i="45"/>
  <c r="N24" i="45" s="1"/>
  <c r="O24" i="45" s="1"/>
  <c r="N23" i="45"/>
  <c r="O23" i="45" s="1"/>
  <c r="K23" i="45"/>
  <c r="I23" i="45"/>
  <c r="G23" i="45"/>
  <c r="N22" i="45"/>
  <c r="O22" i="45" s="1"/>
  <c r="K22" i="45"/>
  <c r="I22" i="45"/>
  <c r="G22" i="45"/>
  <c r="N21" i="45"/>
  <c r="O21" i="45" s="1"/>
  <c r="K21" i="45"/>
  <c r="I21" i="45"/>
  <c r="G21" i="45"/>
  <c r="N20" i="45"/>
  <c r="O20" i="45" s="1"/>
  <c r="K20" i="45"/>
  <c r="G20" i="45"/>
  <c r="N19" i="45"/>
  <c r="O19" i="45" s="1"/>
  <c r="K19" i="45"/>
  <c r="G19" i="45"/>
  <c r="O18" i="45"/>
  <c r="N18" i="45"/>
  <c r="M18" i="45"/>
  <c r="K18" i="45"/>
  <c r="K28" i="45" s="1"/>
  <c r="G18" i="45"/>
  <c r="N17" i="45"/>
  <c r="O17" i="45" s="1"/>
  <c r="M17" i="45"/>
  <c r="M28" i="45" s="1"/>
  <c r="K17" i="45"/>
  <c r="I17" i="45"/>
  <c r="I28" i="45" s="1"/>
  <c r="G17" i="45"/>
  <c r="N15" i="45"/>
  <c r="O15" i="45" s="1"/>
  <c r="M15" i="45"/>
  <c r="K15" i="45"/>
  <c r="I15" i="45"/>
  <c r="G15" i="45"/>
  <c r="N14" i="45"/>
  <c r="O14" i="45" s="1"/>
  <c r="M14" i="45"/>
  <c r="K14" i="45"/>
  <c r="I14" i="45"/>
  <c r="G14" i="45"/>
  <c r="N13" i="45"/>
  <c r="O13" i="45" s="1"/>
  <c r="M13" i="45"/>
  <c r="K13" i="45"/>
  <c r="I13" i="45"/>
  <c r="G13" i="45"/>
  <c r="N12" i="45"/>
  <c r="O12" i="45" s="1"/>
  <c r="M12" i="45"/>
  <c r="M16" i="45" s="1"/>
  <c r="M29" i="45" s="1"/>
  <c r="K12" i="45"/>
  <c r="K16" i="45" s="1"/>
  <c r="K29" i="45" s="1"/>
  <c r="I12" i="45"/>
  <c r="I16" i="45" s="1"/>
  <c r="I29" i="45" s="1"/>
  <c r="G12" i="45"/>
  <c r="G16" i="45" s="1"/>
  <c r="O10" i="45"/>
  <c r="N10" i="45"/>
  <c r="M10" i="45"/>
  <c r="K10" i="45"/>
  <c r="I10" i="45"/>
  <c r="G10" i="45"/>
  <c r="N9" i="45"/>
  <c r="O9" i="45" s="1"/>
  <c r="O11" i="45" s="1"/>
  <c r="M9" i="45"/>
  <c r="M11" i="45" s="1"/>
  <c r="K9" i="45"/>
  <c r="K11" i="45" s="1"/>
  <c r="I9" i="45"/>
  <c r="I11" i="45" s="1"/>
  <c r="G9" i="45"/>
  <c r="G11" i="45" s="1"/>
  <c r="I31" i="48" l="1"/>
  <c r="I29" i="47"/>
  <c r="K27" i="47"/>
  <c r="K25" i="46"/>
  <c r="I26" i="46"/>
  <c r="K16" i="46"/>
  <c r="I23" i="46"/>
  <c r="G30" i="46"/>
  <c r="G31" i="46" s="1"/>
  <c r="O16" i="45"/>
  <c r="K47" i="45"/>
  <c r="K53" i="45" s="1"/>
  <c r="K66" i="45" s="1"/>
  <c r="M47" i="45"/>
  <c r="M53" i="45" s="1"/>
  <c r="M66" i="45" s="1"/>
  <c r="O64" i="45"/>
  <c r="O47" i="45"/>
  <c r="O38" i="45"/>
  <c r="O58" i="45"/>
  <c r="O28" i="45"/>
  <c r="M65" i="45"/>
  <c r="I65" i="45"/>
  <c r="K45" i="45"/>
  <c r="G40" i="45"/>
  <c r="M45" i="45"/>
  <c r="I40" i="45"/>
  <c r="G24" i="45"/>
  <c r="G28" i="45" s="1"/>
  <c r="G29" i="45" s="1"/>
  <c r="G45" i="45"/>
  <c r="I45" i="45"/>
  <c r="M40" i="45"/>
  <c r="G46" i="45"/>
  <c r="K40" i="45"/>
  <c r="K31" i="48" l="1"/>
  <c r="K32" i="48" s="1"/>
  <c r="K29" i="47"/>
  <c r="I30" i="47"/>
  <c r="K30" i="47" s="1"/>
  <c r="I27" i="46"/>
  <c r="K27" i="46" s="1"/>
  <c r="K26" i="46"/>
  <c r="I24" i="46"/>
  <c r="K23" i="46"/>
  <c r="M67" i="45"/>
  <c r="M69" i="45"/>
  <c r="K67" i="45"/>
  <c r="K69" i="45"/>
  <c r="G47" i="45"/>
  <c r="G53" i="45" s="1"/>
  <c r="G66" i="45" s="1"/>
  <c r="I47" i="45"/>
  <c r="I53" i="45" s="1"/>
  <c r="I66" i="45" s="1"/>
  <c r="O65" i="45"/>
  <c r="O29" i="45"/>
  <c r="O53" i="45" s="1"/>
  <c r="O66" i="45" s="1"/>
  <c r="I31" i="47" l="1"/>
  <c r="I32" i="47" s="1"/>
  <c r="K24" i="46"/>
  <c r="I29" i="46"/>
  <c r="G67" i="45"/>
  <c r="G69" i="45" s="1"/>
  <c r="I67" i="45"/>
  <c r="I69" i="45"/>
  <c r="O67" i="45"/>
  <c r="O69" i="45"/>
  <c r="K31" i="47" l="1"/>
  <c r="K32" i="47" s="1"/>
  <c r="I30" i="46"/>
  <c r="K30" i="46" s="1"/>
  <c r="K29" i="46"/>
  <c r="K32" i="44"/>
  <c r="J12" i="44"/>
  <c r="K12" i="44"/>
  <c r="J13" i="44"/>
  <c r="K13" i="44"/>
  <c r="J14" i="44"/>
  <c r="K14" i="44"/>
  <c r="J15" i="44"/>
  <c r="K15" i="44"/>
  <c r="J16" i="44"/>
  <c r="K16" i="44"/>
  <c r="J17" i="44"/>
  <c r="K17" i="44"/>
  <c r="J18" i="44"/>
  <c r="K18" i="44"/>
  <c r="J19" i="44"/>
  <c r="K19" i="44"/>
  <c r="J20" i="44"/>
  <c r="K20" i="44"/>
  <c r="J21" i="44"/>
  <c r="K21" i="44"/>
  <c r="J22" i="44"/>
  <c r="K22" i="44"/>
  <c r="J23" i="44"/>
  <c r="K23" i="44"/>
  <c r="J24" i="44"/>
  <c r="K24" i="44"/>
  <c r="J25" i="44"/>
  <c r="K25" i="44"/>
  <c r="J26" i="44"/>
  <c r="K26" i="44"/>
  <c r="J27" i="44"/>
  <c r="K27" i="44"/>
  <c r="J28" i="44"/>
  <c r="K28" i="44"/>
  <c r="J29" i="44"/>
  <c r="K29" i="44"/>
  <c r="J30" i="44"/>
  <c r="K30" i="44"/>
  <c r="J31" i="44"/>
  <c r="K31" i="44"/>
  <c r="H25" i="44"/>
  <c r="I25" i="44" s="1"/>
  <c r="I26" i="44" s="1"/>
  <c r="I27" i="44" s="1"/>
  <c r="G25" i="44"/>
  <c r="G26" i="44" s="1"/>
  <c r="G27" i="44" s="1"/>
  <c r="H22" i="44"/>
  <c r="I22" i="44" s="1"/>
  <c r="E22" i="44"/>
  <c r="G22" i="44" s="1"/>
  <c r="H21" i="44"/>
  <c r="I21" i="44" s="1"/>
  <c r="E21" i="44"/>
  <c r="G21" i="44" s="1"/>
  <c r="E20" i="44"/>
  <c r="G20" i="44" s="1"/>
  <c r="G19" i="44"/>
  <c r="G18" i="44"/>
  <c r="E17" i="44"/>
  <c r="G17" i="44" s="1"/>
  <c r="E16" i="44"/>
  <c r="G16" i="44" s="1"/>
  <c r="I13" i="44"/>
  <c r="I14" i="44" s="1"/>
  <c r="I15" i="44" s="1"/>
  <c r="G13" i="44"/>
  <c r="G14" i="44" s="1"/>
  <c r="G15" i="44" s="1"/>
  <c r="G12" i="44"/>
  <c r="G11" i="44"/>
  <c r="I31" i="46" l="1"/>
  <c r="I32" i="46" s="1"/>
  <c r="G23" i="44"/>
  <c r="G24" i="44" s="1"/>
  <c r="G29" i="44" s="1"/>
  <c r="G19" i="43"/>
  <c r="G25" i="43"/>
  <c r="G26" i="43" s="1"/>
  <c r="G27" i="43" s="1"/>
  <c r="H22" i="43"/>
  <c r="E22" i="43"/>
  <c r="H21" i="43"/>
  <c r="E21" i="43"/>
  <c r="G21" i="43" s="1"/>
  <c r="E20" i="43"/>
  <c r="G18" i="43"/>
  <c r="E17" i="43"/>
  <c r="E16" i="43"/>
  <c r="I13" i="43"/>
  <c r="I14" i="43" s="1"/>
  <c r="I15" i="43" s="1"/>
  <c r="G13" i="43"/>
  <c r="G14" i="43" s="1"/>
  <c r="G15" i="43" s="1"/>
  <c r="G11" i="43"/>
  <c r="G12" i="43" s="1"/>
  <c r="K31" i="46" l="1"/>
  <c r="K32" i="46" s="1"/>
  <c r="G30" i="44"/>
  <c r="G31" i="44" s="1"/>
  <c r="I22" i="43"/>
  <c r="I21" i="43"/>
  <c r="G17" i="43"/>
  <c r="G16" i="43"/>
  <c r="G20" i="43"/>
  <c r="G22" i="43"/>
  <c r="Y64" i="39"/>
  <c r="Y65" i="39" s="1"/>
  <c r="Y66" i="39" s="1"/>
  <c r="G23" i="43" l="1"/>
  <c r="G24" i="43" s="1"/>
  <c r="G29" i="43" s="1"/>
  <c r="G30" i="43" s="1"/>
  <c r="G31" i="43" s="1"/>
  <c r="Y67" i="39"/>
  <c r="Y69" i="39" s="1"/>
  <c r="H26" i="41" l="1"/>
  <c r="H21" i="41"/>
  <c r="H22" i="41"/>
  <c r="F19" i="41"/>
  <c r="H19" i="41" s="1"/>
  <c r="H19" i="43" s="1"/>
  <c r="F17" i="41"/>
  <c r="H17" i="41" s="1"/>
  <c r="H17" i="43" s="1"/>
  <c r="F18" i="41"/>
  <c r="G18" i="41" s="1"/>
  <c r="F20" i="41"/>
  <c r="H20" i="41" s="1"/>
  <c r="H20" i="43" s="1"/>
  <c r="F16" i="41"/>
  <c r="H16" i="41" s="1"/>
  <c r="H16" i="43" s="1"/>
  <c r="E16" i="40"/>
  <c r="H25" i="41"/>
  <c r="H25" i="43" s="1"/>
  <c r="I25" i="43" s="1"/>
  <c r="I26" i="43" s="1"/>
  <c r="I27" i="43" s="1"/>
  <c r="F11" i="41"/>
  <c r="G11" i="41" s="1"/>
  <c r="G12" i="41" s="1"/>
  <c r="G26" i="41"/>
  <c r="G25" i="41"/>
  <c r="E22" i="41"/>
  <c r="G22" i="41" s="1"/>
  <c r="E21" i="41"/>
  <c r="G21" i="41" s="1"/>
  <c r="E20" i="41"/>
  <c r="E17" i="41"/>
  <c r="E16" i="41"/>
  <c r="I13" i="41"/>
  <c r="G13" i="41"/>
  <c r="G14" i="41" s="1"/>
  <c r="G15" i="41" s="1"/>
  <c r="I20" i="43" l="1"/>
  <c r="H20" i="44"/>
  <c r="I19" i="43"/>
  <c r="H19" i="44"/>
  <c r="I17" i="43"/>
  <c r="H17" i="44"/>
  <c r="I16" i="43"/>
  <c r="H16" i="44"/>
  <c r="G19" i="41"/>
  <c r="I25" i="41"/>
  <c r="H18" i="41"/>
  <c r="H18" i="43" s="1"/>
  <c r="H11" i="41"/>
  <c r="G17" i="41"/>
  <c r="G20" i="41"/>
  <c r="G16" i="41"/>
  <c r="I16" i="41"/>
  <c r="I20" i="41"/>
  <c r="I21" i="41"/>
  <c r="G27" i="41"/>
  <c r="G28" i="41" s="1"/>
  <c r="I19" i="41"/>
  <c r="I17" i="41"/>
  <c r="I22" i="41"/>
  <c r="G13" i="40"/>
  <c r="E22" i="40"/>
  <c r="E21" i="40"/>
  <c r="E20" i="40"/>
  <c r="E17" i="40"/>
  <c r="G69" i="39"/>
  <c r="G68" i="39"/>
  <c r="G67" i="39"/>
  <c r="G66" i="39"/>
  <c r="G65" i="39"/>
  <c r="G64" i="39"/>
  <c r="Q63" i="39"/>
  <c r="L63" i="39"/>
  <c r="M63" i="39" s="1"/>
  <c r="K63" i="39"/>
  <c r="I63" i="39"/>
  <c r="G63" i="39"/>
  <c r="Q62" i="39"/>
  <c r="L62" i="39"/>
  <c r="M62" i="39" s="1"/>
  <c r="K62" i="39"/>
  <c r="I62" i="39"/>
  <c r="G62" i="39"/>
  <c r="Q61" i="39"/>
  <c r="L61" i="39"/>
  <c r="M61" i="39" s="1"/>
  <c r="K61" i="39"/>
  <c r="I61" i="39"/>
  <c r="G61" i="39"/>
  <c r="Q60" i="39"/>
  <c r="L60" i="39"/>
  <c r="M60" i="39" s="1"/>
  <c r="K60" i="39"/>
  <c r="I60" i="39"/>
  <c r="G60" i="39"/>
  <c r="Q59" i="39"/>
  <c r="L59" i="39"/>
  <c r="M59" i="39" s="1"/>
  <c r="K59" i="39"/>
  <c r="I59" i="39"/>
  <c r="G59" i="39"/>
  <c r="F58" i="39"/>
  <c r="Q57" i="39"/>
  <c r="L57" i="39"/>
  <c r="M57" i="39" s="1"/>
  <c r="K57" i="39"/>
  <c r="I57" i="39"/>
  <c r="G57" i="39"/>
  <c r="Q56" i="39"/>
  <c r="L56" i="39"/>
  <c r="M56" i="39" s="1"/>
  <c r="K56" i="39"/>
  <c r="I56" i="39"/>
  <c r="G56" i="39"/>
  <c r="Q55" i="39"/>
  <c r="L55" i="39"/>
  <c r="M55" i="39" s="1"/>
  <c r="K55" i="39"/>
  <c r="I55" i="39"/>
  <c r="G55" i="39"/>
  <c r="Q54" i="39"/>
  <c r="L54" i="39"/>
  <c r="M54" i="39" s="1"/>
  <c r="K54" i="39"/>
  <c r="I54" i="39"/>
  <c r="G54" i="39"/>
  <c r="Q52" i="39"/>
  <c r="K52" i="39"/>
  <c r="H52" i="39"/>
  <c r="I52" i="39" s="1"/>
  <c r="G52" i="39"/>
  <c r="Q50" i="39"/>
  <c r="L50" i="39"/>
  <c r="M50" i="39" s="1"/>
  <c r="K50" i="39"/>
  <c r="I50" i="39"/>
  <c r="G50" i="39"/>
  <c r="Q49" i="39"/>
  <c r="L49" i="39"/>
  <c r="M49" i="39" s="1"/>
  <c r="K49" i="39"/>
  <c r="I49" i="39"/>
  <c r="G49" i="39"/>
  <c r="Q48" i="39"/>
  <c r="L48" i="39"/>
  <c r="M48" i="39" s="1"/>
  <c r="K48" i="39"/>
  <c r="I48" i="39"/>
  <c r="G48" i="39"/>
  <c r="L46" i="39"/>
  <c r="M46" i="39" s="1"/>
  <c r="K46" i="39"/>
  <c r="E46" i="39"/>
  <c r="G46" i="39" s="1"/>
  <c r="L45" i="39"/>
  <c r="E45" i="39"/>
  <c r="Q45" i="39" s="1"/>
  <c r="L44" i="39"/>
  <c r="E44" i="39"/>
  <c r="K44" i="39" s="1"/>
  <c r="Q43" i="39"/>
  <c r="L43" i="39"/>
  <c r="M43" i="39" s="1"/>
  <c r="K43" i="39"/>
  <c r="I43" i="39"/>
  <c r="G43" i="39"/>
  <c r="Q42" i="39"/>
  <c r="L42" i="39"/>
  <c r="M42" i="39" s="1"/>
  <c r="K42" i="39"/>
  <c r="I42" i="39"/>
  <c r="G42" i="39"/>
  <c r="L41" i="39"/>
  <c r="E41" i="39"/>
  <c r="K41" i="39" s="1"/>
  <c r="L40" i="39"/>
  <c r="E40" i="39"/>
  <c r="Q40" i="39" s="1"/>
  <c r="Q39" i="39"/>
  <c r="K39" i="39"/>
  <c r="F39" i="39"/>
  <c r="G39" i="39" s="1"/>
  <c r="F38" i="39"/>
  <c r="E38" i="39" s="1"/>
  <c r="Q37" i="39"/>
  <c r="L37" i="39"/>
  <c r="M37" i="39" s="1"/>
  <c r="K37" i="39"/>
  <c r="I37" i="39"/>
  <c r="G37" i="39"/>
  <c r="Q36" i="39"/>
  <c r="L36" i="39"/>
  <c r="M36" i="39" s="1"/>
  <c r="K36" i="39"/>
  <c r="I36" i="39"/>
  <c r="G36" i="39"/>
  <c r="Q35" i="39"/>
  <c r="L35" i="39"/>
  <c r="M35" i="39" s="1"/>
  <c r="K35" i="39"/>
  <c r="I35" i="39"/>
  <c r="G35" i="39"/>
  <c r="Q34" i="39"/>
  <c r="L34" i="39"/>
  <c r="M34" i="39" s="1"/>
  <c r="K34" i="39"/>
  <c r="I34" i="39"/>
  <c r="G34" i="39"/>
  <c r="Q33" i="39"/>
  <c r="L33" i="39"/>
  <c r="M33" i="39" s="1"/>
  <c r="K33" i="39"/>
  <c r="I33" i="39"/>
  <c r="G33" i="39"/>
  <c r="Q32" i="39"/>
  <c r="L32" i="39"/>
  <c r="M32" i="39" s="1"/>
  <c r="K32" i="39"/>
  <c r="I32" i="39"/>
  <c r="G32" i="39"/>
  <c r="Q31" i="39"/>
  <c r="L31" i="39"/>
  <c r="M31" i="39" s="1"/>
  <c r="K31" i="39"/>
  <c r="I31" i="39"/>
  <c r="G31" i="39"/>
  <c r="Q30" i="39"/>
  <c r="L30" i="39"/>
  <c r="M30" i="39" s="1"/>
  <c r="K30" i="39"/>
  <c r="I30" i="39"/>
  <c r="G30" i="39"/>
  <c r="F28" i="39"/>
  <c r="Q27" i="39"/>
  <c r="L27" i="39"/>
  <c r="M27" i="39" s="1"/>
  <c r="Q26" i="39"/>
  <c r="Q25" i="39"/>
  <c r="Q24" i="39"/>
  <c r="K24" i="39"/>
  <c r="I24" i="39"/>
  <c r="G24" i="39"/>
  <c r="Q23" i="39"/>
  <c r="L23" i="39"/>
  <c r="M23" i="39" s="1"/>
  <c r="K23" i="39"/>
  <c r="I23" i="39"/>
  <c r="G23" i="39"/>
  <c r="Q22" i="39"/>
  <c r="L22" i="39"/>
  <c r="M22" i="39" s="1"/>
  <c r="K22" i="39"/>
  <c r="I22" i="39"/>
  <c r="G22" i="39"/>
  <c r="Q21" i="39"/>
  <c r="L21" i="39"/>
  <c r="M21" i="39" s="1"/>
  <c r="K21" i="39"/>
  <c r="I21" i="39"/>
  <c r="G21" i="39"/>
  <c r="Q20" i="39"/>
  <c r="Q19" i="39"/>
  <c r="Q18" i="39"/>
  <c r="Q17" i="39"/>
  <c r="L17" i="39"/>
  <c r="M17" i="39" s="1"/>
  <c r="K17" i="39"/>
  <c r="I17" i="39"/>
  <c r="G17" i="39"/>
  <c r="Q15" i="39"/>
  <c r="L15" i="39"/>
  <c r="M15" i="39" s="1"/>
  <c r="K15" i="39"/>
  <c r="I15" i="39"/>
  <c r="G15" i="39"/>
  <c r="Q14" i="39"/>
  <c r="L14" i="39"/>
  <c r="M14" i="39" s="1"/>
  <c r="K14" i="39"/>
  <c r="I14" i="39"/>
  <c r="G14" i="39"/>
  <c r="Q13" i="39"/>
  <c r="L13" i="39"/>
  <c r="M13" i="39" s="1"/>
  <c r="K13" i="39"/>
  <c r="I13" i="39"/>
  <c r="G13" i="39"/>
  <c r="Q12" i="39"/>
  <c r="L12" i="39"/>
  <c r="M12" i="39" s="1"/>
  <c r="K12" i="39"/>
  <c r="I12" i="39"/>
  <c r="G12" i="39"/>
  <c r="Q10" i="39"/>
  <c r="L10" i="39"/>
  <c r="M10" i="39" s="1"/>
  <c r="K10" i="39"/>
  <c r="I10" i="39"/>
  <c r="I11" i="39" s="1"/>
  <c r="G10" i="39"/>
  <c r="G11" i="39" s="1"/>
  <c r="Q9" i="39"/>
  <c r="L9" i="39"/>
  <c r="M9" i="39" s="1"/>
  <c r="K9" i="39"/>
  <c r="I9" i="39"/>
  <c r="G9" i="39"/>
  <c r="I18" i="43" l="1"/>
  <c r="I23" i="43" s="1"/>
  <c r="H18" i="44"/>
  <c r="I18" i="41"/>
  <c r="I23" i="41" s="1"/>
  <c r="H11" i="43"/>
  <c r="I11" i="43" s="1"/>
  <c r="I12" i="43" s="1"/>
  <c r="H11" i="44"/>
  <c r="I19" i="44"/>
  <c r="I20" i="44"/>
  <c r="I17" i="44"/>
  <c r="I16" i="44"/>
  <c r="G28" i="39"/>
  <c r="G16" i="39"/>
  <c r="K11" i="39"/>
  <c r="I16" i="39"/>
  <c r="M41" i="39"/>
  <c r="Q11" i="39"/>
  <c r="H39" i="39"/>
  <c r="L39" i="39" s="1"/>
  <c r="M39" i="39" s="1"/>
  <c r="K58" i="39"/>
  <c r="I11" i="41"/>
  <c r="I12" i="41" s="1"/>
  <c r="M58" i="39"/>
  <c r="Q64" i="39"/>
  <c r="I38" i="39"/>
  <c r="I51" i="39"/>
  <c r="Q16" i="39"/>
  <c r="M40" i="39"/>
  <c r="L52" i="39"/>
  <c r="M52" i="39" s="1"/>
  <c r="G29" i="39"/>
  <c r="G38" i="39"/>
  <c r="G23" i="41"/>
  <c r="Q38" i="39"/>
  <c r="Q51" i="39"/>
  <c r="I64" i="39"/>
  <c r="Q41" i="39"/>
  <c r="I46" i="39"/>
  <c r="I58" i="39"/>
  <c r="M51" i="39"/>
  <c r="M64" i="39"/>
  <c r="Q28" i="39"/>
  <c r="Q29" i="39" s="1"/>
  <c r="G44" i="39"/>
  <c r="K45" i="39"/>
  <c r="K16" i="39"/>
  <c r="I28" i="39"/>
  <c r="I29" i="39" s="1"/>
  <c r="M44" i="39"/>
  <c r="M45" i="39"/>
  <c r="G58" i="39"/>
  <c r="K64" i="39"/>
  <c r="K28" i="39"/>
  <c r="K38" i="39"/>
  <c r="Q44" i="39"/>
  <c r="G51" i="39"/>
  <c r="K51" i="39"/>
  <c r="Q58" i="39"/>
  <c r="I14" i="41"/>
  <c r="I15" i="41" s="1"/>
  <c r="M65" i="39"/>
  <c r="M38" i="39"/>
  <c r="M28" i="39"/>
  <c r="M11" i="39"/>
  <c r="M16" i="39"/>
  <c r="G41" i="39"/>
  <c r="I41" i="39"/>
  <c r="G45" i="39"/>
  <c r="Q46" i="39"/>
  <c r="I45" i="39"/>
  <c r="L51" i="39"/>
  <c r="G40" i="39"/>
  <c r="I40" i="39"/>
  <c r="K40" i="39"/>
  <c r="I11" i="44" l="1"/>
  <c r="J11" i="44"/>
  <c r="I18" i="44"/>
  <c r="I24" i="43"/>
  <c r="I29" i="43" s="1"/>
  <c r="I30" i="43" s="1"/>
  <c r="I31" i="43" s="1"/>
  <c r="Q65" i="39"/>
  <c r="K29" i="39"/>
  <c r="K65" i="39"/>
  <c r="I39" i="39"/>
  <c r="I24" i="41"/>
  <c r="K47" i="39"/>
  <c r="K53" i="39" s="1"/>
  <c r="K66" i="39" s="1"/>
  <c r="K67" i="39" s="1"/>
  <c r="K69" i="39" s="1"/>
  <c r="M47" i="39"/>
  <c r="G24" i="41"/>
  <c r="G30" i="41" s="1"/>
  <c r="Q47" i="39"/>
  <c r="I65" i="39"/>
  <c r="Q53" i="39"/>
  <c r="Q66" i="39" s="1"/>
  <c r="Q67" i="39" s="1"/>
  <c r="I47" i="39"/>
  <c r="I53" i="39" s="1"/>
  <c r="G47" i="39"/>
  <c r="G53" i="39" s="1"/>
  <c r="M29" i="39"/>
  <c r="I23" i="44" l="1"/>
  <c r="I12" i="44"/>
  <c r="K11" i="44"/>
  <c r="M53" i="39"/>
  <c r="M66" i="39" s="1"/>
  <c r="I66" i="39"/>
  <c r="G31" i="41"/>
  <c r="G32" i="41"/>
  <c r="I32" i="43" s="1"/>
  <c r="M67" i="39"/>
  <c r="I24" i="44" l="1"/>
  <c r="I29" i="44" s="1"/>
  <c r="I68" i="39"/>
  <c r="I67" i="39"/>
  <c r="I26" i="41"/>
  <c r="I27" i="41" s="1"/>
  <c r="I28" i="41" s="1"/>
  <c r="I30" i="41" s="1"/>
  <c r="I31" i="41" s="1"/>
  <c r="I32" i="41" s="1"/>
  <c r="I30" i="44" l="1"/>
  <c r="I69" i="39"/>
  <c r="M68" i="39"/>
  <c r="D34" i="16"/>
  <c r="I31" i="44" l="1"/>
  <c r="Q68" i="39"/>
  <c r="Q69" i="39" s="1"/>
  <c r="V70" i="39" s="1"/>
  <c r="M69" i="39"/>
  <c r="M62" i="16"/>
  <c r="M60" i="16"/>
  <c r="M59" i="16"/>
  <c r="M58" i="16"/>
  <c r="M46" i="16"/>
  <c r="M57" i="16"/>
  <c r="L56" i="16"/>
  <c r="J56" i="16"/>
  <c r="H56" i="16"/>
  <c r="F56" i="16"/>
  <c r="M53" i="16"/>
  <c r="L53" i="16"/>
  <c r="J53" i="16"/>
  <c r="H53" i="16"/>
  <c r="F53" i="16"/>
  <c r="M52" i="16"/>
  <c r="L52" i="16"/>
  <c r="J52" i="16"/>
  <c r="H52" i="16"/>
  <c r="F52" i="16"/>
  <c r="E51" i="16"/>
  <c r="M51" i="16" s="1"/>
  <c r="M50" i="16"/>
  <c r="L50" i="16"/>
  <c r="J50" i="16"/>
  <c r="H50" i="16"/>
  <c r="F50" i="16"/>
  <c r="M49" i="16"/>
  <c r="L49" i="16"/>
  <c r="J49" i="16"/>
  <c r="H49" i="16"/>
  <c r="F49" i="16"/>
  <c r="M48" i="16"/>
  <c r="L48" i="16"/>
  <c r="J48" i="16"/>
  <c r="H48" i="16"/>
  <c r="F48" i="16"/>
  <c r="M47" i="16"/>
  <c r="L47" i="16"/>
  <c r="J47" i="16"/>
  <c r="H47" i="16"/>
  <c r="F47" i="16"/>
  <c r="E31" i="16"/>
  <c r="M31" i="16" s="1"/>
  <c r="M30" i="16"/>
  <c r="L30" i="16"/>
  <c r="J30" i="16"/>
  <c r="H30" i="16"/>
  <c r="F30" i="16"/>
  <c r="M29" i="16"/>
  <c r="L29" i="16"/>
  <c r="J29" i="16"/>
  <c r="H29" i="16"/>
  <c r="F29" i="16"/>
  <c r="M28" i="16"/>
  <c r="L28" i="16"/>
  <c r="J28" i="16"/>
  <c r="H28" i="16"/>
  <c r="F28" i="16"/>
  <c r="M27" i="16"/>
  <c r="L27" i="16"/>
  <c r="J27" i="16"/>
  <c r="H27" i="16"/>
  <c r="F27" i="16"/>
  <c r="M26" i="16"/>
  <c r="L26" i="16"/>
  <c r="J26" i="16"/>
  <c r="H26" i="16"/>
  <c r="F26" i="16"/>
  <c r="M25" i="16"/>
  <c r="L25" i="16"/>
  <c r="J25" i="16"/>
  <c r="H25" i="16"/>
  <c r="F25" i="16"/>
  <c r="M24" i="16"/>
  <c r="L24" i="16"/>
  <c r="J24" i="16"/>
  <c r="H24" i="16"/>
  <c r="F24" i="16"/>
  <c r="M23" i="16"/>
  <c r="L23" i="16"/>
  <c r="J23" i="16"/>
  <c r="H23" i="16"/>
  <c r="F23" i="16"/>
  <c r="L45" i="16"/>
  <c r="G45" i="16"/>
  <c r="F45" i="16"/>
  <c r="M44" i="16"/>
  <c r="M43" i="16"/>
  <c r="L43" i="16"/>
  <c r="J43" i="16"/>
  <c r="H43" i="16"/>
  <c r="F43" i="16"/>
  <c r="M42" i="16"/>
  <c r="L42" i="16"/>
  <c r="J42" i="16"/>
  <c r="H42" i="16"/>
  <c r="F42" i="16"/>
  <c r="M41" i="16"/>
  <c r="L41" i="16"/>
  <c r="J41" i="16"/>
  <c r="H41" i="16"/>
  <c r="F41" i="16"/>
  <c r="M40" i="16"/>
  <c r="M39" i="16"/>
  <c r="D39" i="16"/>
  <c r="F39" i="16" s="1"/>
  <c r="M38" i="16"/>
  <c r="D38" i="16"/>
  <c r="H38" i="16" s="1"/>
  <c r="K37" i="16"/>
  <c r="D37" i="16"/>
  <c r="F37" i="16" s="1"/>
  <c r="L37" i="16" s="1"/>
  <c r="M36" i="16"/>
  <c r="L36" i="16"/>
  <c r="J36" i="16"/>
  <c r="H36" i="16"/>
  <c r="F36" i="16"/>
  <c r="M35" i="16"/>
  <c r="L35" i="16"/>
  <c r="J35" i="16"/>
  <c r="H35" i="16"/>
  <c r="F35" i="16"/>
  <c r="E34" i="16"/>
  <c r="M34" i="16" s="1"/>
  <c r="L34" i="16"/>
  <c r="M33" i="16"/>
  <c r="D33" i="16"/>
  <c r="H33" i="16" s="1"/>
  <c r="L32" i="16"/>
  <c r="J32" i="16"/>
  <c r="E32" i="16"/>
  <c r="F32" i="16" s="1"/>
  <c r="M22" i="16"/>
  <c r="E21" i="16"/>
  <c r="M21" i="16" s="1"/>
  <c r="M20" i="16"/>
  <c r="L20" i="16"/>
  <c r="J20" i="16"/>
  <c r="H20" i="16"/>
  <c r="F20" i="16"/>
  <c r="M19" i="16"/>
  <c r="L19" i="16"/>
  <c r="J19" i="16"/>
  <c r="H19" i="16"/>
  <c r="F19" i="16"/>
  <c r="M18" i="16"/>
  <c r="L18" i="16"/>
  <c r="J18" i="16"/>
  <c r="H18" i="16"/>
  <c r="F18" i="16"/>
  <c r="M17" i="16"/>
  <c r="L17" i="16"/>
  <c r="J17" i="16"/>
  <c r="H17" i="16"/>
  <c r="F17" i="16"/>
  <c r="M16" i="16"/>
  <c r="L16" i="16"/>
  <c r="J16" i="16"/>
  <c r="H16" i="16"/>
  <c r="F16" i="16"/>
  <c r="M15" i="16"/>
  <c r="L14" i="16"/>
  <c r="I14" i="16"/>
  <c r="J14" i="16" s="1"/>
  <c r="H14" i="16"/>
  <c r="F14" i="16"/>
  <c r="L13" i="16"/>
  <c r="I13" i="16"/>
  <c r="J13" i="16" s="1"/>
  <c r="H13" i="16"/>
  <c r="F13" i="16"/>
  <c r="M12" i="16"/>
  <c r="L12" i="16"/>
  <c r="J12" i="16"/>
  <c r="H12" i="16"/>
  <c r="F12" i="16"/>
  <c r="M11" i="16"/>
  <c r="L11" i="16"/>
  <c r="J11" i="16"/>
  <c r="H11" i="16"/>
  <c r="F11" i="16"/>
  <c r="M55" i="16"/>
  <c r="L55" i="16"/>
  <c r="J55" i="16"/>
  <c r="H55" i="16"/>
  <c r="F55" i="16"/>
  <c r="M54" i="16"/>
  <c r="L54" i="16"/>
  <c r="J54" i="16"/>
  <c r="H54" i="16"/>
  <c r="F54" i="16"/>
  <c r="L9" i="16"/>
  <c r="L10" i="16" s="1"/>
  <c r="J9" i="16"/>
  <c r="J10" i="16" s="1"/>
  <c r="H9" i="16"/>
  <c r="F9" i="16"/>
  <c r="M10" i="16"/>
  <c r="M8" i="16"/>
  <c r="L8" i="16"/>
  <c r="J8" i="16"/>
  <c r="H8" i="16"/>
  <c r="F8" i="16"/>
  <c r="I32" i="44" l="1"/>
  <c r="F57" i="16"/>
  <c r="H45" i="16"/>
  <c r="H10" i="16"/>
  <c r="F10" i="16"/>
  <c r="H57" i="16"/>
  <c r="L57" i="16"/>
  <c r="J57" i="16"/>
  <c r="N28" i="16"/>
  <c r="N55" i="16"/>
  <c r="H51" i="16"/>
  <c r="L51" i="16"/>
  <c r="N48" i="16"/>
  <c r="H44" i="16"/>
  <c r="L21" i="16"/>
  <c r="N36" i="16"/>
  <c r="D31" i="16"/>
  <c r="N53" i="16"/>
  <c r="N11" i="16"/>
  <c r="N27" i="16"/>
  <c r="F51" i="16"/>
  <c r="L15" i="16"/>
  <c r="F33" i="16"/>
  <c r="F38" i="16"/>
  <c r="M13" i="16"/>
  <c r="N18" i="16"/>
  <c r="J38" i="16"/>
  <c r="J51" i="16"/>
  <c r="J21" i="16"/>
  <c r="J33" i="16"/>
  <c r="L38" i="16"/>
  <c r="N43" i="16"/>
  <c r="N30" i="16"/>
  <c r="N50" i="16"/>
  <c r="N12" i="16"/>
  <c r="L33" i="16"/>
  <c r="F44" i="16"/>
  <c r="F31" i="16"/>
  <c r="J44" i="16"/>
  <c r="J31" i="16"/>
  <c r="N8" i="16"/>
  <c r="L31" i="16"/>
  <c r="H31" i="16"/>
  <c r="N19" i="16"/>
  <c r="M14" i="16"/>
  <c r="N17" i="16"/>
  <c r="L44" i="16"/>
  <c r="N26" i="16"/>
  <c r="F15" i="16"/>
  <c r="H15" i="16"/>
  <c r="N24" i="16"/>
  <c r="N54" i="16"/>
  <c r="N20" i="16"/>
  <c r="N35" i="16"/>
  <c r="N42" i="16"/>
  <c r="N29" i="16"/>
  <c r="N49" i="16"/>
  <c r="H21" i="16"/>
  <c r="N25" i="16"/>
  <c r="F21" i="16"/>
  <c r="N16" i="16"/>
  <c r="N14" i="16"/>
  <c r="J15" i="16"/>
  <c r="I45" i="16"/>
  <c r="J45" i="16" s="1"/>
  <c r="N45" i="16" s="1"/>
  <c r="N47" i="16"/>
  <c r="J39" i="16"/>
  <c r="L39" i="16"/>
  <c r="N41" i="16"/>
  <c r="H39" i="16"/>
  <c r="F34" i="16"/>
  <c r="N23" i="16"/>
  <c r="N13" i="16"/>
  <c r="G32" i="16"/>
  <c r="H34" i="16"/>
  <c r="J34" i="16"/>
  <c r="N52" i="16"/>
  <c r="J58" i="16" l="1"/>
  <c r="F58" i="16"/>
  <c r="L22" i="16"/>
  <c r="L58" i="16"/>
  <c r="H58" i="16"/>
  <c r="H32" i="16"/>
  <c r="H40" i="16" s="1"/>
  <c r="N39" i="16"/>
  <c r="N21" i="16"/>
  <c r="H22" i="16"/>
  <c r="N10" i="16"/>
  <c r="M32" i="16"/>
  <c r="N51" i="16"/>
  <c r="M45" i="16"/>
  <c r="N44" i="16"/>
  <c r="F22" i="16"/>
  <c r="F40" i="16"/>
  <c r="N33" i="16"/>
  <c r="N38" i="16"/>
  <c r="L40" i="16"/>
  <c r="J22" i="16"/>
  <c r="N31" i="16"/>
  <c r="J40" i="16"/>
  <c r="N34" i="16"/>
  <c r="N15" i="16"/>
  <c r="L46" i="16" l="1"/>
  <c r="L59" i="16" s="1"/>
  <c r="L61" i="16" s="1"/>
  <c r="J46" i="16"/>
  <c r="J59" i="16" s="1"/>
  <c r="J61" i="16" s="1"/>
  <c r="H46" i="16"/>
  <c r="N32" i="16"/>
  <c r="N58" i="16"/>
  <c r="F46" i="16"/>
  <c r="F59" i="16" s="1"/>
  <c r="N22" i="16"/>
  <c r="N40" i="16"/>
  <c r="L60" i="16" l="1"/>
  <c r="L62" i="16" s="1"/>
  <c r="J60" i="16"/>
  <c r="J62" i="16" s="1"/>
  <c r="H59" i="16"/>
  <c r="F60" i="16"/>
  <c r="H61" i="16" l="1"/>
  <c r="H60" i="16"/>
  <c r="F61" i="16"/>
  <c r="H62" i="16" l="1"/>
  <c r="F62" i="16"/>
  <c r="O60" i="16" l="1"/>
  <c r="O57" i="16"/>
  <c r="O8" i="16"/>
  <c r="O58" i="16"/>
  <c r="O40" i="16"/>
  <c r="O62" i="16"/>
  <c r="F63" i="16"/>
  <c r="O59" i="16"/>
  <c r="O46" i="16"/>
  <c r="O44" i="16"/>
  <c r="O22" i="16"/>
  <c r="O63" i="16" l="1"/>
  <c r="N57" i="16" l="1"/>
  <c r="N46" i="16"/>
  <c r="N59" i="16" l="1"/>
  <c r="N60" i="16"/>
  <c r="N62" i="16" l="1"/>
</calcChain>
</file>

<file path=xl/sharedStrings.xml><?xml version="1.0" encoding="utf-8"?>
<sst xmlns="http://schemas.openxmlformats.org/spreadsheetml/2006/main" count="899" uniqueCount="193">
  <si>
    <t>№</t>
  </si>
  <si>
    <t>Нийт дүн</t>
  </si>
  <si>
    <t>%</t>
  </si>
  <si>
    <t>км</t>
  </si>
  <si>
    <t>Магадлашгүй зардал</t>
  </si>
  <si>
    <t>Дүн</t>
  </si>
  <si>
    <t>дүн</t>
  </si>
  <si>
    <t>Томилолт</t>
  </si>
  <si>
    <t>Ажлын нэр</t>
  </si>
  <si>
    <t>т.м</t>
  </si>
  <si>
    <t>сорьц</t>
  </si>
  <si>
    <t>Цэглэн сорьцлолт</t>
  </si>
  <si>
    <t>нэгж</t>
  </si>
  <si>
    <t>Хүн тээвэр</t>
  </si>
  <si>
    <t>Ачаа тээвэр</t>
  </si>
  <si>
    <t>НӨАТ</t>
  </si>
  <si>
    <t>Төслийн үр дүнгийн тайлан зохиолт</t>
  </si>
  <si>
    <t>4.7. МЕЗОЗОЙ, КАЙНОЗОЙН 1:500 000 -НЫ МАСШТАБТАЙ ЗУРАГ ЗОХИОХ, ХОЛБОГДОХ АШИГТ МАЛТМАЛЫН ХЭТИЙН ТӨЛӨВИЙН ҮНЭЛГЭЭ ХИЙХ,</t>
  </si>
  <si>
    <t>ДАГАЛДАХ МЭДЭЭЛЛИЙН САН БҮРДҮҮЛЭХ, ТАЙЛБАР БИЧИГ ЗОХИОХ СУДАЛГААНЫ АЖЛЫН  НЭГДСЭН ТӨСӨВ</t>
  </si>
  <si>
    <t>Код: Мезо-Кайнокой-2021</t>
  </si>
  <si>
    <t xml:space="preserve">Хэмжих </t>
  </si>
  <si>
    <t>Нэгжийн өртөг (төг)</t>
  </si>
  <si>
    <t>Нийт төсөв</t>
  </si>
  <si>
    <t>2021 он</t>
  </si>
  <si>
    <t>2022 он</t>
  </si>
  <si>
    <t>2023 он</t>
  </si>
  <si>
    <t>Тоо</t>
  </si>
  <si>
    <t>А</t>
  </si>
  <si>
    <t>В</t>
  </si>
  <si>
    <t xml:space="preserve">Төсөл, төсөв зохиолт </t>
  </si>
  <si>
    <t>хүн/ө</t>
  </si>
  <si>
    <t xml:space="preserve">Хээрийн бэлтгэл судалгаа </t>
  </si>
  <si>
    <t>Сансрын зураг худалдан авах</t>
  </si>
  <si>
    <t>лист</t>
  </si>
  <si>
    <t xml:space="preserve">1:500 000 масштабтай геологийн зургийн тоон мэдээллийг худалдан авах </t>
  </si>
  <si>
    <t>БЭЛТГЭЛ АЖЛЫН ДҮН</t>
  </si>
  <si>
    <t xml:space="preserve">Мезо-кайнозойн хурдас, чулуулгийн хээрийн судалгаа, шалган холбох, зүсэлт </t>
  </si>
  <si>
    <t>талбай</t>
  </si>
  <si>
    <t>Өрөмдлөг, цооногийн геофизикийн судалгаа</t>
  </si>
  <si>
    <t>Соронзон зураглал</t>
  </si>
  <si>
    <t>т.км</t>
  </si>
  <si>
    <t>Хүндийн хүчний зураглал, топогеодезийн ажлийн хамт</t>
  </si>
  <si>
    <t>Хээрийн судалгааны ажлын дүн</t>
  </si>
  <si>
    <t>Анхдагч геохими, штуф</t>
  </si>
  <si>
    <t>дээж</t>
  </si>
  <si>
    <t>Үр тоосонцорын дээжлэлт</t>
  </si>
  <si>
    <t>Үнэмлэхүй насны дээжлэлт</t>
  </si>
  <si>
    <t>Цооногийн дээжлэлт</t>
  </si>
  <si>
    <t>Дээжлэлтийн дүн</t>
  </si>
  <si>
    <t>ХЭЭРИЙН АЖЛЫН ДҮН</t>
  </si>
  <si>
    <t>Сансрын зургийн тайлал</t>
  </si>
  <si>
    <t>1000 кв.км</t>
  </si>
  <si>
    <t>Фондын болон хэвлэлийн мэдээлэл цуглуулах, танилцах</t>
  </si>
  <si>
    <t>хүн/өдөр</t>
  </si>
  <si>
    <t xml:space="preserve">Мезо-кайнозойн 1:5000000-ны геологи, тектоник-структур, минерогени, ашигт малтмалын тойм зураг зохиох, таних тэмдэг боловсруулах </t>
  </si>
  <si>
    <t>Шинэчилсэн мэдээллийн холболт, боловсруулалт</t>
  </si>
  <si>
    <t xml:space="preserve">Монгол орны Мезозой, Кайнозойн хурдсын нэгдсэн ангилал, региогаль стратиграфын нэгжүүдийг ялгаж мэдээллийн сан бүрдүүлэх, </t>
  </si>
  <si>
    <t xml:space="preserve">Монгол орны хэмжээнд 1:500000-ны зургуудыг  нэгтгэж холбох, мэдээлэл боловсруулах </t>
  </si>
  <si>
    <t>х.ө</t>
  </si>
  <si>
    <t>Тайлангийн бүх зураг материалыг хэвлэж хамгаалах, тушаах /2-4%/</t>
  </si>
  <si>
    <t>ширхэг</t>
  </si>
  <si>
    <t>Суурин боловсруулалтын дүн</t>
  </si>
  <si>
    <t>Үйлдвэрийн тээвэр</t>
  </si>
  <si>
    <t>Тээврийн дүн</t>
  </si>
  <si>
    <t xml:space="preserve">Шлиф бэлтгэл, </t>
  </si>
  <si>
    <t xml:space="preserve">Петрографи </t>
  </si>
  <si>
    <t>Минерографи бичиглэл</t>
  </si>
  <si>
    <t>Үр тоос (боловсруулалт, тодорхойлох)</t>
  </si>
  <si>
    <t>Фаун, флор  (боловсруулалт, тодорхойлох)</t>
  </si>
  <si>
    <t>Үнэмлэхүй насны дээж бэлтгэх</t>
  </si>
  <si>
    <t>Чулуун дээж бутлах, нунтаглах</t>
  </si>
  <si>
    <t>Чулуулгийн физик шинж тодорхойлох</t>
  </si>
  <si>
    <t>Өөрийн лабораторийн дүн</t>
  </si>
  <si>
    <t>ICP-MS (54 элемент)</t>
  </si>
  <si>
    <t>XRD (эрдэс)</t>
  </si>
  <si>
    <t>XRF</t>
  </si>
  <si>
    <t>Үнэмлэхүй насны дээж тодорхойлох</t>
  </si>
  <si>
    <t>Гадны лабораторийн дүн</t>
  </si>
  <si>
    <t>Байрны түрээс</t>
  </si>
  <si>
    <t>сар</t>
  </si>
  <si>
    <t>Зочид буудал/Орон нутаг/</t>
  </si>
  <si>
    <t>Хэлэлцүүлэг зохион байгуулах</t>
  </si>
  <si>
    <t>удаа</t>
  </si>
  <si>
    <t>Бусад зардлын дүн</t>
  </si>
  <si>
    <t>ӨӨРИЙН ХҮЧНИЙ ДҮН</t>
  </si>
  <si>
    <t>ГАДНЫ БАЙГУУЛЛАГААР ГҮЙЦЭТГҮҮЛЭХ АЖЛЫН ДҮН</t>
  </si>
  <si>
    <t>ТӨСӨВТ ӨРТӨГ</t>
  </si>
  <si>
    <t>НИЙТ ТӨСВИЙН ДҮН</t>
  </si>
  <si>
    <t xml:space="preserve"> ЗАХИРАЛ</t>
  </si>
  <si>
    <t>ТӨСЛИЙН АХЛАГЧ</t>
  </si>
  <si>
    <t>НЯГТЛАН БОДОГЧ</t>
  </si>
  <si>
    <t>"Татах хүч" ХХК -ИЙН</t>
  </si>
  <si>
    <t>Б.Өнөрбаяр</t>
  </si>
  <si>
    <t>Д.Одгэрэл</t>
  </si>
  <si>
    <t>Б.Оюун</t>
  </si>
  <si>
    <t>Д.ОДГЭРЭЛ (PhD)</t>
  </si>
  <si>
    <t>Хавсралт 6</t>
  </si>
  <si>
    <t xml:space="preserve">"ТАТАХ ХҮЧ" ХХК -ИЙН ЕРӨНХИЙ ЗАХИРАЛ                                       </t>
  </si>
  <si>
    <t xml:space="preserve"> Б.ӨНӨРБАЯР</t>
  </si>
  <si>
    <t>Б.ОЮУН</t>
  </si>
  <si>
    <t>АЖЛЫН ГҮЙЦЭТГЭЛИЙН АКТ</t>
  </si>
  <si>
    <t>Оны эхнээс гарсан гүйцэтгэл</t>
  </si>
  <si>
    <t xml:space="preserve">Магадлашгүй зардал </t>
  </si>
  <si>
    <t>НӨАТ /10%/</t>
  </si>
  <si>
    <t>НИЙТ ТӨСӨВ</t>
  </si>
  <si>
    <t>Төслийн код: "МЕЗО-КАЙНОЗОЙ-2021"</t>
  </si>
  <si>
    <t>ГАДНЫ АЖЛЫН ДҮН</t>
  </si>
  <si>
    <t>"Татах хүч" ХХК-ий Ерөнхий захирал</t>
  </si>
  <si>
    <t>/Б.ӨНӨРБАЯР/</t>
  </si>
  <si>
    <t xml:space="preserve"> Төслийн ахлагч</t>
  </si>
  <si>
    <t>Нягтлан бодогч</t>
  </si>
  <si>
    <t>/Б.ОЮУН/</t>
  </si>
  <si>
    <t>Үндэсний геологийн албаны ГСХ-ийн дарга</t>
  </si>
  <si>
    <t>/Д.ОДГЭРЭЛ/</t>
  </si>
  <si>
    <t>Үндэсний геологийн албаны ГСХ-ийн мэргэжилтэн</t>
  </si>
  <si>
    <t>Үндэсний геологийн албаны ЭБСТЭЗХ-ийн мэргэжилтэн</t>
  </si>
  <si>
    <t>/И.БАТТУЯА/</t>
  </si>
  <si>
    <t>УЛСЫН ТӨСВИЙН ХӨРӨНГӨӨР ХЭРЭГЖҮҮЛЖ БАЙГАА"МЕЗО-КАЙНОЗОЙ-2021" ТӨСЛИЙН</t>
  </si>
  <si>
    <t>Төсвийн дүн: 1,997,821,834 төг</t>
  </si>
  <si>
    <t>ТАНИЛЦСАН:</t>
  </si>
  <si>
    <t>ХЯНАСАН:</t>
  </si>
  <si>
    <t>Гүйцэтгэгч "ТАТАХ ХҮЧ" ХХК, ШУА.ГЕОЛОГИЙН ХҮРЭЭЛЭН</t>
  </si>
  <si>
    <t>Төсвийн нийт дүн: 1,997,821,835 төг</t>
  </si>
  <si>
    <t>2021 он /Төлөвлөсөн/</t>
  </si>
  <si>
    <t>2021 оны нийт гүйцэтгэл</t>
  </si>
  <si>
    <t>Зөрүү</t>
  </si>
  <si>
    <t>2022 оны төлөвлөгөөгөөр</t>
  </si>
  <si>
    <t>Цэглэн сорьцлолт /960/</t>
  </si>
  <si>
    <t>Минерографи</t>
  </si>
  <si>
    <t xml:space="preserve">Фаун, флор </t>
  </si>
  <si>
    <t>Бусад /АМ-ын зориулалтаар/</t>
  </si>
  <si>
    <t>Анхдагч геохими</t>
  </si>
  <si>
    <t>Геохими</t>
  </si>
  <si>
    <t>-</t>
  </si>
  <si>
    <t>Танилцсан:</t>
  </si>
  <si>
    <t>Хянасан:</t>
  </si>
  <si>
    <t>Гүйцэтгэгч:</t>
  </si>
  <si>
    <t>"ТАТАХ ХҮЧ" ХХК-ий захирал.....................................</t>
  </si>
  <si>
    <t>ҮГА-ны ЭБСТЭЗХ-ийн мэргэжилтэн……………………………………………………..</t>
  </si>
  <si>
    <t>Төслийн ахлагч ............................................................</t>
  </si>
  <si>
    <t xml:space="preserve">/Д.ОДГЭРЭЛ, </t>
  </si>
  <si>
    <t>ШУА,ГХ-гийн захирал/</t>
  </si>
  <si>
    <t>"ТАТАХ ХҮЧ" ХХК-ий ня-бо.........................................</t>
  </si>
  <si>
    <t>/Р.БОЛД-ЭРДЭНЭ/</t>
  </si>
  <si>
    <t>Нийт гүйцэтгэл</t>
  </si>
  <si>
    <t>2023 оны тодотголд</t>
  </si>
  <si>
    <t>МЕЗОЗОЙ, КАЙНОЗОЙН 1:500 000 -НЫ МАСШТАБТАЙ ЗУРАГ ЗОХИОХ, ХОЛБОГДОХ АШИГТ МАЛТМАЛЫН ХЭТИЙН ТӨЛӨВИЙН ҮНЭЛГЭЭ ХИЙХ АЖЛЫН 2023 оны ТӨСВИЙН ТОДОТГОЛ</t>
  </si>
  <si>
    <t>2022 оны тододтгол</t>
  </si>
  <si>
    <t>2023 он төлөвлөгөөгөөр</t>
  </si>
  <si>
    <t>"Уул уурхай, хүнп үйлдвэрийн сайдын 2022 оны А/87 дугаар тушаалын 3-р хавсралт</t>
  </si>
  <si>
    <t>/............................./</t>
  </si>
  <si>
    <t>/Д.ОДГЭРЭЛ, ШУА,ГХ-гийн захирал/</t>
  </si>
  <si>
    <t>/P.БОЛД-ЭРДЭНЭ/</t>
  </si>
  <si>
    <t xml:space="preserve">"Татах хүч" ХХК-ийн Ерөнхий захирал </t>
  </si>
  <si>
    <t>"Татах хүч" ХХК-ийн нягтлан бодогч</t>
  </si>
  <si>
    <t>"Төслийн ахлагч"</t>
  </si>
  <si>
    <t>Боловсруулсан:</t>
  </si>
  <si>
    <t>Төсвийн нийт дүн: 1,997,821,835₮</t>
  </si>
  <si>
    <t>"Уул уурхай, хүнп үйлдвэрийн сайдын 2022 оны А/87 дугаар тушаалын 2-р хавсралт</t>
  </si>
  <si>
    <t>2023 оны тодотгол</t>
  </si>
  <si>
    <t>Код: Мезо-Кайнозой-2021</t>
  </si>
  <si>
    <t>2022 оны 12 дүгээр сарын 20-нээс 2023 оны 01 дүгээр сарын 20-ний өдөр хүртэл</t>
  </si>
  <si>
    <t>2023 он 01-р сар</t>
  </si>
  <si>
    <t>"Уул уурхай, хүнп үйлдвэрийн сайдын 2022 оны А/87 дугаар тушаалын 6-р хавсралт</t>
  </si>
  <si>
    <t>/Х.Ганхуяг/</t>
  </si>
  <si>
    <t>/Ш.ШИНЭ-ОД/</t>
  </si>
  <si>
    <t>ҮГА-ны ТЗУХ-ийн ахлах нягтлан бодогч……………………………………………………..</t>
  </si>
  <si>
    <t>/Э.МЯГМАРСАЙХАН/</t>
  </si>
  <si>
    <t>фжы</t>
  </si>
  <si>
    <t>"цжб</t>
  </si>
  <si>
    <t>=</t>
  </si>
  <si>
    <t>ҮГА-ны ГСХ-ийн даргын үүргийг түр орлон гүйцэтгэгч.......................................................................................</t>
  </si>
  <si>
    <t>ҮГА-ны ТЗУХ-ийн дарга............................................................................................</t>
  </si>
  <si>
    <t>ҮГА-ны дарга.............................................................................................................</t>
  </si>
  <si>
    <t>2023 оны 01 дүгээр сарын 20-нээс 03 дугаар сарын 20-ний өдөр хүртэл</t>
  </si>
  <si>
    <t>2023 он 02,03-р сар</t>
  </si>
  <si>
    <t>Уул уурхай, хүнп үйлдвэрийн сайдын 2022 оны А/87 дугаар тушаалын 3-р хавсралт</t>
  </si>
  <si>
    <t>"МЕЗОЗОЙ, КАЙНОЗОЙН 1:500 000 -НЫ МАСШТАБТАЙ ЗУРАГ ЗОХИОХ, ХОЛБОГДОХ АШИГТ МАЛТМАЛЫН ХЭТИЙН ТӨЛӨВИЙН ҮНЭЛГЭЭ" ТӨСЛИЙН 2023 ОНЫ ТӨСВИЙН ТОДОТГОЛ</t>
  </si>
  <si>
    <t>Нэгжийн өртөг</t>
  </si>
  <si>
    <t>2021 оны гүйцэтгэл</t>
  </si>
  <si>
    <t>2022 оны гүйцэтгэл</t>
  </si>
  <si>
    <t>Гэрээний үлдэгдэл</t>
  </si>
  <si>
    <t>ГАДНЫ БАЙГУУЛЛАГЫН ДҮН</t>
  </si>
  <si>
    <t>/С.ШИНЭ-ОД/</t>
  </si>
  <si>
    <t>2023 он 4-р сар</t>
  </si>
  <si>
    <t>2023 оны 03 дүгээр сарын 20-нээс 04 дугаар сарын 20-ний өдөр хүртэл</t>
  </si>
  <si>
    <t>2023 оны 04 дүгээр сарын 20-нээс 05 дугаар сарын 20-ний өдөр хүртэл</t>
  </si>
  <si>
    <t>2023 он 5-р сар</t>
  </si>
  <si>
    <t>2023 оны 05 дүгээр сарын 20-нээс 06 дугаар сарын 20-ний өдөр хүртэл</t>
  </si>
  <si>
    <t>2023 он 6-р сар</t>
  </si>
  <si>
    <t>/………………………./</t>
  </si>
  <si>
    <t>2023 он 7-р сар</t>
  </si>
  <si>
    <t>2023 оны 06 дүгээр сарын 20-нээс 07 дугаар сарын 20-ний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</si>
</sst>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-* #,##0.00_-;\-* #,##0.00_-;_-* &quot;-&quot;??_-;_-@_-"/>
    <numFmt numFmtId="167" formatCode="_(* #,##0.0_);_(* \(#,##0.0\);_(* &quot;-&quot;?_);_(@_)"/>
    <numFmt numFmtId="168" formatCode="#,##0.0"/>
    <numFmt numFmtId="169" formatCode="_(* #,##0.000_);_(* \(#,##0.000\);_(* &quot;-&quot;??_);_(@_)"/>
    <numFmt numFmtId="170" formatCode="_(* #,##0.000000000000000_);_(* \(#,##0.000000000000000\);_(* &quot;-&quot;??_);_(@_)"/>
  </numFmts>
  <fonts count="52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i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0"/>
      <name val="Times New Roman"/>
      <family val="1"/>
    </font>
    <font>
      <sz val="12"/>
      <color theme="1"/>
      <name val="Times New Roman"/>
      <family val="2"/>
    </font>
    <font>
      <sz val="10"/>
      <color theme="2"/>
      <name val="Times New Roman"/>
      <family val="1"/>
    </font>
    <font>
      <b/>
      <sz val="10"/>
      <color theme="2"/>
      <name val="Times New Roman"/>
      <family val="1"/>
    </font>
    <font>
      <sz val="10"/>
      <color rgb="FFFF0000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C00000"/>
      <name val="Times New Roman"/>
      <family val="1"/>
    </font>
    <font>
      <sz val="11"/>
      <name val="Times New Roman"/>
      <family val="1"/>
    </font>
    <font>
      <b/>
      <i/>
      <sz val="10"/>
      <name val="Times New Roman"/>
      <family val="1"/>
    </font>
    <font>
      <b/>
      <sz val="10"/>
      <color theme="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0"/>
      <name val="Times New Roman"/>
      <family val="1"/>
    </font>
    <font>
      <b/>
      <sz val="10"/>
      <color rgb="FF000000"/>
      <name val="Times New Roman"/>
      <family val="1"/>
    </font>
    <font>
      <sz val="10"/>
      <name val="Times New Roman Mon"/>
      <family val="1"/>
    </font>
    <font>
      <b/>
      <sz val="10"/>
      <name val="Times New Roman Mon"/>
      <family val="1"/>
    </font>
    <font>
      <b/>
      <i/>
      <sz val="10"/>
      <name val="Times New Roman Mon"/>
      <family val="1"/>
    </font>
    <font>
      <sz val="10"/>
      <color theme="1"/>
      <name val="Arial"/>
      <family val="2"/>
    </font>
    <font>
      <b/>
      <i/>
      <sz val="11"/>
      <name val="Times New Roman Mon"/>
      <family val="1"/>
    </font>
    <font>
      <sz val="11"/>
      <name val="Times New Roman Mon"/>
      <family val="1"/>
    </font>
    <font>
      <b/>
      <sz val="11"/>
      <name val="Times New Roman Mon"/>
      <family val="1"/>
    </font>
    <font>
      <b/>
      <sz val="11"/>
      <color rgb="FFFF0000"/>
      <name val="Times New Roman"/>
      <family val="1"/>
    </font>
    <font>
      <b/>
      <sz val="11"/>
      <color theme="0"/>
      <name val="Times New Roman Mon"/>
      <family val="1"/>
    </font>
    <font>
      <b/>
      <sz val="10"/>
      <name val="Times New Roman Mon"/>
      <family val="1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u/>
      <sz val="11"/>
      <name val="Arial"/>
      <family val="2"/>
    </font>
    <font>
      <sz val="10"/>
      <color rgb="FFFF0000"/>
      <name val="Arial"/>
      <family val="2"/>
    </font>
    <font>
      <b/>
      <sz val="9"/>
      <name val="Times New Roman Mon"/>
      <family val="1"/>
    </font>
    <font>
      <sz val="9"/>
      <name val="Times New Roman Mon"/>
      <family val="1"/>
    </font>
    <font>
      <sz val="9"/>
      <name val="Times New Roman"/>
      <family val="1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5">
    <xf numFmtId="0" fontId="0" fillId="0" borderId="0"/>
    <xf numFmtId="43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2" fillId="0" borderId="0"/>
    <xf numFmtId="43" fontId="12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75">
    <xf numFmtId="0" fontId="0" fillId="0" borderId="0" xfId="0"/>
    <xf numFmtId="0" fontId="7" fillId="0" borderId="0" xfId="5" applyFont="1" applyFill="1" applyBorder="1" applyAlignment="1">
      <alignment horizontal="left" vertical="center"/>
    </xf>
    <xf numFmtId="164" fontId="7" fillId="0" borderId="0" xfId="6" applyNumberFormat="1" applyFont="1" applyFill="1" applyBorder="1" applyAlignment="1">
      <alignment horizontal="right" vertical="center"/>
    </xf>
    <xf numFmtId="3" fontId="7" fillId="0" borderId="1" xfId="5" applyNumberFormat="1" applyFont="1" applyFill="1" applyBorder="1" applyAlignment="1">
      <alignment horizontal="left" vertical="center" wrapText="1"/>
    </xf>
    <xf numFmtId="3" fontId="7" fillId="0" borderId="1" xfId="5" applyNumberFormat="1" applyFont="1" applyFill="1" applyBorder="1" applyAlignment="1">
      <alignment horizontal="center" vertical="center"/>
    </xf>
    <xf numFmtId="165" fontId="6" fillId="0" borderId="1" xfId="6" applyNumberFormat="1" applyFont="1" applyFill="1" applyBorder="1" applyAlignment="1">
      <alignment horizontal="right" vertical="center"/>
    </xf>
    <xf numFmtId="165" fontId="5" fillId="0" borderId="1" xfId="6" applyNumberFormat="1" applyFont="1" applyFill="1" applyBorder="1" applyAlignment="1">
      <alignment horizontal="right" vertical="center"/>
    </xf>
    <xf numFmtId="164" fontId="11" fillId="0" borderId="0" xfId="6" applyNumberFormat="1" applyFont="1" applyFill="1" applyBorder="1" applyAlignment="1">
      <alignment horizontal="right" vertical="center"/>
    </xf>
    <xf numFmtId="168" fontId="7" fillId="0" borderId="0" xfId="5" applyNumberFormat="1" applyFont="1" applyFill="1" applyBorder="1" applyAlignment="1">
      <alignment horizontal="left" vertical="center"/>
    </xf>
    <xf numFmtId="0" fontId="5" fillId="0" borderId="1" xfId="5" applyFont="1" applyFill="1" applyBorder="1" applyAlignment="1">
      <alignment vertical="center" wrapText="1"/>
    </xf>
    <xf numFmtId="0" fontId="5" fillId="0" borderId="1" xfId="5" applyFont="1" applyFill="1" applyBorder="1" applyAlignment="1">
      <alignment horizontal="center" vertical="center"/>
    </xf>
    <xf numFmtId="164" fontId="7" fillId="0" borderId="1" xfId="6" applyNumberFormat="1" applyFont="1" applyFill="1" applyBorder="1" applyAlignment="1">
      <alignment horizontal="right" vertical="center"/>
    </xf>
    <xf numFmtId="0" fontId="5" fillId="0" borderId="1" xfId="5" applyFont="1" applyFill="1" applyBorder="1" applyAlignment="1">
      <alignment horizontal="left" vertical="center" wrapText="1"/>
    </xf>
    <xf numFmtId="43" fontId="7" fillId="0" borderId="1" xfId="6" applyFont="1" applyFill="1" applyBorder="1" applyAlignment="1">
      <alignment horizontal="right" vertical="center"/>
    </xf>
    <xf numFmtId="0" fontId="7" fillId="0" borderId="1" xfId="5" applyFont="1" applyFill="1" applyBorder="1" applyAlignment="1">
      <alignment horizontal="right" vertical="center"/>
    </xf>
    <xf numFmtId="3" fontId="5" fillId="0" borderId="1" xfId="5" applyNumberFormat="1" applyFont="1" applyFill="1" applyBorder="1" applyAlignment="1">
      <alignment horizontal="center" vertical="center"/>
    </xf>
    <xf numFmtId="0" fontId="16" fillId="0" borderId="1" xfId="5" applyFont="1" applyFill="1" applyBorder="1" applyAlignment="1">
      <alignment horizontal="center"/>
    </xf>
    <xf numFmtId="0" fontId="5" fillId="0" borderId="1" xfId="5" applyFont="1" applyFill="1" applyBorder="1" applyAlignment="1">
      <alignment horizontal="center"/>
    </xf>
    <xf numFmtId="0" fontId="9" fillId="0" borderId="1" xfId="5" applyFont="1" applyFill="1" applyBorder="1" applyAlignment="1">
      <alignment horizontal="center"/>
    </xf>
    <xf numFmtId="165" fontId="9" fillId="0" borderId="1" xfId="6" applyNumberFormat="1" applyFont="1" applyFill="1" applyBorder="1" applyAlignment="1">
      <alignment horizontal="right" vertical="center"/>
    </xf>
    <xf numFmtId="43" fontId="5" fillId="0" borderId="0" xfId="6" applyNumberFormat="1" applyFont="1" applyFill="1" applyBorder="1" applyAlignment="1">
      <alignment horizontal="center"/>
    </xf>
    <xf numFmtId="165" fontId="6" fillId="0" borderId="0" xfId="6" applyNumberFormat="1" applyFont="1" applyFill="1" applyBorder="1" applyAlignment="1">
      <alignment horizontal="right"/>
    </xf>
    <xf numFmtId="1" fontId="7" fillId="0" borderId="0" xfId="5" applyNumberFormat="1" applyFont="1" applyFill="1" applyBorder="1" applyAlignment="1">
      <alignment horizontal="right" vertical="center"/>
    </xf>
    <xf numFmtId="41" fontId="7" fillId="0" borderId="0" xfId="10" applyFont="1" applyFill="1" applyBorder="1" applyAlignment="1">
      <alignment horizontal="right" vertical="center"/>
    </xf>
    <xf numFmtId="165" fontId="7" fillId="0" borderId="0" xfId="6" applyNumberFormat="1" applyFont="1" applyFill="1" applyBorder="1" applyAlignment="1">
      <alignment horizontal="right" vertical="center"/>
    </xf>
    <xf numFmtId="0" fontId="7" fillId="0" borderId="0" xfId="5" applyFont="1" applyFill="1" applyBorder="1" applyAlignment="1">
      <alignment horizontal="center" vertical="center"/>
    </xf>
    <xf numFmtId="165" fontId="7" fillId="0" borderId="0" xfId="6" applyNumberFormat="1" applyFont="1" applyFill="1" applyBorder="1" applyAlignment="1">
      <alignment horizontal="right"/>
    </xf>
    <xf numFmtId="0" fontId="10" fillId="0" borderId="0" xfId="5" applyFont="1" applyFill="1" applyBorder="1" applyAlignment="1">
      <alignment horizontal="left" vertical="center"/>
    </xf>
    <xf numFmtId="0" fontId="7" fillId="0" borderId="0" xfId="5" applyFont="1" applyFill="1" applyBorder="1" applyAlignment="1">
      <alignment horizontal="right" vertical="center"/>
    </xf>
    <xf numFmtId="0" fontId="10" fillId="0" borderId="0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right" vertical="center"/>
    </xf>
    <xf numFmtId="164" fontId="7" fillId="0" borderId="0" xfId="6" applyNumberFormat="1" applyFont="1" applyFill="1" applyBorder="1" applyAlignment="1">
      <alignment horizontal="center" vertical="center"/>
    </xf>
    <xf numFmtId="165" fontId="15" fillId="0" borderId="0" xfId="6" applyNumberFormat="1" applyFont="1" applyFill="1" applyBorder="1" applyAlignment="1">
      <alignment horizontal="right" vertical="center"/>
    </xf>
    <xf numFmtId="165" fontId="10" fillId="0" borderId="0" xfId="6" applyNumberFormat="1" applyFont="1" applyFill="1" applyBorder="1" applyAlignment="1">
      <alignment horizontal="right" vertical="center"/>
    </xf>
    <xf numFmtId="164" fontId="10" fillId="0" borderId="0" xfId="6" applyNumberFormat="1" applyFont="1" applyFill="1" applyBorder="1" applyAlignment="1">
      <alignment horizontal="right" vertical="center"/>
    </xf>
    <xf numFmtId="165" fontId="10" fillId="0" borderId="0" xfId="5" applyNumberFormat="1" applyFont="1" applyFill="1" applyBorder="1" applyAlignment="1">
      <alignment horizontal="right" vertical="center"/>
    </xf>
    <xf numFmtId="1" fontId="10" fillId="0" borderId="0" xfId="5" applyNumberFormat="1" applyFont="1" applyFill="1" applyBorder="1" applyAlignment="1">
      <alignment horizontal="right" vertical="center"/>
    </xf>
    <xf numFmtId="43" fontId="7" fillId="0" borderId="0" xfId="6" applyNumberFormat="1" applyFont="1" applyFill="1" applyBorder="1" applyAlignment="1">
      <alignment horizontal="right" vertical="center"/>
    </xf>
    <xf numFmtId="0" fontId="15" fillId="0" borderId="0" xfId="5" applyFont="1" applyFill="1" applyBorder="1" applyAlignment="1">
      <alignment horizontal="left" vertical="center"/>
    </xf>
    <xf numFmtId="0" fontId="15" fillId="0" borderId="0" xfId="5" applyFont="1" applyFill="1" applyBorder="1" applyAlignment="1">
      <alignment horizontal="center" vertical="center"/>
    </xf>
    <xf numFmtId="165" fontId="11" fillId="0" borderId="0" xfId="6" applyNumberFormat="1" applyFont="1" applyFill="1" applyBorder="1" applyAlignment="1">
      <alignment horizontal="left" vertical="center"/>
    </xf>
    <xf numFmtId="0" fontId="15" fillId="0" borderId="0" xfId="5" quotePrefix="1" applyFont="1" applyFill="1" applyBorder="1" applyAlignment="1">
      <alignment horizontal="left" vertical="center"/>
    </xf>
    <xf numFmtId="165" fontId="15" fillId="0" borderId="0" xfId="5" applyNumberFormat="1" applyFont="1" applyFill="1" applyBorder="1" applyAlignment="1">
      <alignment horizontal="left" vertical="center"/>
    </xf>
    <xf numFmtId="165" fontId="10" fillId="0" borderId="0" xfId="5" applyNumberFormat="1" applyFont="1" applyFill="1" applyBorder="1" applyAlignment="1">
      <alignment horizontal="left" vertical="center"/>
    </xf>
    <xf numFmtId="0" fontId="17" fillId="0" borderId="0" xfId="5" applyFont="1" applyFill="1" applyBorder="1" applyAlignment="1">
      <alignment horizontal="left" vertical="center"/>
    </xf>
    <xf numFmtId="165" fontId="18" fillId="0" borderId="0" xfId="6" applyNumberFormat="1" applyFont="1" applyFill="1" applyBorder="1" applyAlignment="1">
      <alignment horizontal="left" vertical="center"/>
    </xf>
    <xf numFmtId="0" fontId="18" fillId="0" borderId="0" xfId="5" applyFont="1" applyFill="1" applyBorder="1" applyAlignment="1">
      <alignment horizontal="left" vertical="center"/>
    </xf>
    <xf numFmtId="165" fontId="7" fillId="0" borderId="0" xfId="5" applyNumberFormat="1" applyFont="1" applyFill="1" applyBorder="1" applyAlignment="1">
      <alignment horizontal="left" vertical="center"/>
    </xf>
    <xf numFmtId="165" fontId="7" fillId="0" borderId="1" xfId="6" applyNumberFormat="1" applyFont="1" applyFill="1" applyBorder="1" applyAlignment="1">
      <alignment horizontal="right" vertical="center"/>
    </xf>
    <xf numFmtId="165" fontId="10" fillId="0" borderId="1" xfId="6" applyNumberFormat="1" applyFont="1" applyFill="1" applyBorder="1" applyAlignment="1">
      <alignment horizontal="right" vertical="center"/>
    </xf>
    <xf numFmtId="165" fontId="8" fillId="0" borderId="1" xfId="6" applyNumberFormat="1" applyFont="1" applyFill="1" applyBorder="1" applyAlignment="1">
      <alignment horizontal="right" vertical="center"/>
    </xf>
    <xf numFmtId="165" fontId="20" fillId="0" borderId="1" xfId="6" applyNumberFormat="1" applyFont="1" applyFill="1" applyBorder="1" applyAlignment="1">
      <alignment horizontal="right" vertical="center"/>
    </xf>
    <xf numFmtId="43" fontId="7" fillId="0" borderId="1" xfId="6" applyNumberFormat="1" applyFont="1" applyFill="1" applyBorder="1" applyAlignment="1">
      <alignment horizontal="right" vertical="center"/>
    </xf>
    <xf numFmtId="0" fontId="6" fillId="0" borderId="16" xfId="5" applyFont="1" applyFill="1" applyBorder="1" applyAlignment="1">
      <alignment horizontal="center" wrapText="1"/>
    </xf>
    <xf numFmtId="1" fontId="7" fillId="0" borderId="4" xfId="5" applyNumberFormat="1" applyFont="1" applyFill="1" applyBorder="1" applyAlignment="1">
      <alignment horizontal="center" vertical="center"/>
    </xf>
    <xf numFmtId="3" fontId="7" fillId="0" borderId="4" xfId="5" applyNumberFormat="1" applyFont="1" applyFill="1" applyBorder="1" applyAlignment="1">
      <alignment horizontal="left" vertical="center" wrapText="1"/>
    </xf>
    <xf numFmtId="3" fontId="7" fillId="0" borderId="4" xfId="5" applyNumberFormat="1" applyFont="1" applyFill="1" applyBorder="1" applyAlignment="1">
      <alignment horizontal="center" vertical="center"/>
    </xf>
    <xf numFmtId="165" fontId="5" fillId="0" borderId="4" xfId="6" applyNumberFormat="1" applyFont="1" applyFill="1" applyBorder="1" applyAlignment="1">
      <alignment horizontal="right" vertical="center"/>
    </xf>
    <xf numFmtId="1" fontId="7" fillId="0" borderId="1" xfId="5" applyNumberFormat="1" applyFont="1" applyFill="1" applyBorder="1" applyAlignment="1">
      <alignment horizontal="center" vertical="center"/>
    </xf>
    <xf numFmtId="1" fontId="10" fillId="0" borderId="1" xfId="5" applyNumberFormat="1" applyFont="1" applyFill="1" applyBorder="1" applyAlignment="1">
      <alignment vertical="center"/>
    </xf>
    <xf numFmtId="3" fontId="7" fillId="0" borderId="1" xfId="5" applyNumberFormat="1" applyFont="1" applyFill="1" applyBorder="1" applyAlignment="1">
      <alignment vertical="center" wrapText="1"/>
    </xf>
    <xf numFmtId="3" fontId="10" fillId="0" borderId="1" xfId="5" applyNumberFormat="1" applyFont="1" applyFill="1" applyBorder="1" applyAlignment="1">
      <alignment horizontal="right" vertical="center" wrapText="1"/>
    </xf>
    <xf numFmtId="3" fontId="10" fillId="0" borderId="1" xfId="5" applyNumberFormat="1" applyFont="1" applyFill="1" applyBorder="1" applyAlignment="1">
      <alignment horizontal="center" vertical="center"/>
    </xf>
    <xf numFmtId="168" fontId="10" fillId="0" borderId="1" xfId="5" applyNumberFormat="1" applyFont="1" applyFill="1" applyBorder="1" applyAlignment="1">
      <alignment horizontal="right" vertical="center"/>
    </xf>
    <xf numFmtId="168" fontId="10" fillId="0" borderId="1" xfId="5" applyNumberFormat="1" applyFont="1" applyFill="1" applyBorder="1" applyAlignment="1">
      <alignment horizontal="left" vertical="center"/>
    </xf>
    <xf numFmtId="0" fontId="6" fillId="0" borderId="1" xfId="5" applyFont="1" applyFill="1" applyBorder="1" applyAlignment="1">
      <alignment horizontal="right" vertical="center" wrapText="1"/>
    </xf>
    <xf numFmtId="165" fontId="13" fillId="0" borderId="1" xfId="6" applyNumberFormat="1" applyFont="1" applyFill="1" applyBorder="1" applyAlignment="1">
      <alignment horizontal="right" vertical="center"/>
    </xf>
    <xf numFmtId="0" fontId="5" fillId="0" borderId="1" xfId="7" applyFont="1" applyFill="1" applyBorder="1" applyAlignment="1">
      <alignment vertical="center" wrapText="1"/>
    </xf>
    <xf numFmtId="0" fontId="5" fillId="0" borderId="1" xfId="5" applyFont="1" applyFill="1" applyBorder="1" applyAlignment="1">
      <alignment wrapText="1"/>
    </xf>
    <xf numFmtId="0" fontId="5" fillId="0" borderId="1" xfId="8" applyFont="1" applyFill="1" applyBorder="1"/>
    <xf numFmtId="165" fontId="14" fillId="0" borderId="1" xfId="6" applyNumberFormat="1" applyFont="1" applyFill="1" applyBorder="1" applyAlignment="1">
      <alignment horizontal="right" vertical="center"/>
    </xf>
    <xf numFmtId="43" fontId="6" fillId="0" borderId="1" xfId="9" applyFont="1" applyFill="1" applyBorder="1"/>
    <xf numFmtId="43" fontId="5" fillId="0" borderId="0" xfId="6" applyNumberFormat="1" applyFont="1" applyFill="1" applyBorder="1" applyAlignment="1">
      <alignment horizontal="center" vertical="center"/>
    </xf>
    <xf numFmtId="0" fontId="6" fillId="0" borderId="0" xfId="5" applyFont="1" applyFill="1" applyAlignment="1">
      <alignment horizontal="left" vertical="center"/>
    </xf>
    <xf numFmtId="0" fontId="5" fillId="0" borderId="0" xfId="5" applyFont="1" applyFill="1" applyBorder="1" applyAlignment="1">
      <alignment horizontal="right"/>
    </xf>
    <xf numFmtId="0" fontId="7" fillId="0" borderId="0" xfId="5" applyFont="1" applyFill="1" applyBorder="1" applyAlignment="1">
      <alignment horizontal="left" vertical="center" wrapText="1"/>
    </xf>
    <xf numFmtId="0" fontId="10" fillId="0" borderId="0" xfId="5" applyFont="1" applyFill="1" applyBorder="1" applyAlignment="1">
      <alignment horizontal="center" vertical="center" wrapText="1"/>
    </xf>
    <xf numFmtId="165" fontId="5" fillId="0" borderId="0" xfId="5" applyNumberFormat="1" applyFont="1" applyFill="1" applyAlignment="1">
      <alignment vertical="center"/>
    </xf>
    <xf numFmtId="3" fontId="5" fillId="0" borderId="0" xfId="5" applyNumberFormat="1" applyFont="1" applyFill="1" applyAlignment="1">
      <alignment horizontal="right" vertical="center"/>
    </xf>
    <xf numFmtId="164" fontId="7" fillId="0" borderId="0" xfId="5" applyNumberFormat="1" applyFont="1" applyFill="1" applyBorder="1" applyAlignment="1">
      <alignment horizontal="center" vertical="center" wrapText="1"/>
    </xf>
    <xf numFmtId="0" fontId="11" fillId="0" borderId="0" xfId="5" applyFont="1" applyFill="1" applyBorder="1" applyAlignment="1">
      <alignment horizontal="left" vertical="center"/>
    </xf>
    <xf numFmtId="167" fontId="11" fillId="0" borderId="0" xfId="5" applyNumberFormat="1" applyFont="1" applyFill="1" applyBorder="1" applyAlignment="1">
      <alignment horizontal="left" vertical="center"/>
    </xf>
    <xf numFmtId="164" fontId="21" fillId="0" borderId="0" xfId="6" applyNumberFormat="1" applyFont="1" applyFill="1" applyBorder="1" applyAlignment="1">
      <alignment horizontal="right" vertical="center"/>
    </xf>
    <xf numFmtId="0" fontId="11" fillId="2" borderId="0" xfId="5" applyFont="1" applyFill="1" applyBorder="1" applyAlignment="1">
      <alignment horizontal="left" vertical="center"/>
    </xf>
    <xf numFmtId="167" fontId="11" fillId="2" borderId="0" xfId="5" applyNumberFormat="1" applyFont="1" applyFill="1" applyBorder="1" applyAlignment="1">
      <alignment horizontal="left" vertical="center"/>
    </xf>
    <xf numFmtId="167" fontId="11" fillId="2" borderId="0" xfId="5" applyNumberFormat="1" applyFont="1" applyFill="1" applyBorder="1" applyAlignment="1">
      <alignment horizontal="center" vertical="center"/>
    </xf>
    <xf numFmtId="164" fontId="11" fillId="2" borderId="0" xfId="6" applyNumberFormat="1" applyFont="1" applyFill="1" applyBorder="1" applyAlignment="1">
      <alignment horizontal="right" vertical="center"/>
    </xf>
    <xf numFmtId="168" fontId="11" fillId="2" borderId="0" xfId="5" applyNumberFormat="1" applyFont="1" applyFill="1" applyBorder="1" applyAlignment="1">
      <alignment horizontal="left" vertical="center"/>
    </xf>
    <xf numFmtId="0" fontId="7" fillId="2" borderId="0" xfId="5" applyFont="1" applyFill="1" applyBorder="1" applyAlignment="1">
      <alignment horizontal="left" vertical="center"/>
    </xf>
    <xf numFmtId="0" fontId="7" fillId="2" borderId="0" xfId="5" applyFont="1" applyFill="1" applyBorder="1" applyAlignment="1">
      <alignment horizontal="center" vertical="center"/>
    </xf>
    <xf numFmtId="165" fontId="7" fillId="2" borderId="0" xfId="5" applyNumberFormat="1" applyFont="1" applyFill="1" applyBorder="1" applyAlignment="1">
      <alignment horizontal="left" vertical="center"/>
    </xf>
    <xf numFmtId="0" fontId="5" fillId="2" borderId="0" xfId="5" applyFont="1" applyFill="1" applyBorder="1" applyAlignment="1">
      <alignment horizontal="center"/>
    </xf>
    <xf numFmtId="0" fontId="5" fillId="2" borderId="0" xfId="5" applyFont="1" applyFill="1" applyBorder="1" applyAlignment="1">
      <alignment horizontal="center" vertical="center"/>
    </xf>
    <xf numFmtId="165" fontId="9" fillId="2" borderId="0" xfId="5" applyNumberFormat="1" applyFont="1" applyFill="1" applyBorder="1" applyAlignment="1">
      <alignment horizontal="right"/>
    </xf>
    <xf numFmtId="0" fontId="7" fillId="2" borderId="0" xfId="5" applyFont="1" applyFill="1" applyBorder="1" applyAlignment="1">
      <alignment vertical="center"/>
    </xf>
    <xf numFmtId="0" fontId="21" fillId="2" borderId="0" xfId="5" applyFont="1" applyFill="1" applyAlignment="1">
      <alignment vertical="center"/>
    </xf>
    <xf numFmtId="0" fontId="11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horizontal="center" vertical="center" wrapText="1"/>
    </xf>
    <xf numFmtId="1" fontId="7" fillId="2" borderId="0" xfId="5" applyNumberFormat="1" applyFont="1" applyFill="1" applyBorder="1" applyAlignment="1">
      <alignment horizontal="center" vertical="center"/>
    </xf>
    <xf numFmtId="43" fontId="5" fillId="2" borderId="0" xfId="6" applyNumberFormat="1" applyFont="1" applyFill="1" applyBorder="1" applyAlignment="1">
      <alignment horizontal="center" vertical="center"/>
    </xf>
    <xf numFmtId="43" fontId="5" fillId="2" borderId="0" xfId="6" applyNumberFormat="1" applyFont="1" applyFill="1" applyBorder="1" applyAlignment="1">
      <alignment horizontal="center"/>
    </xf>
    <xf numFmtId="165" fontId="6" fillId="2" borderId="0" xfId="6" applyNumberFormat="1" applyFont="1" applyFill="1" applyBorder="1" applyAlignment="1">
      <alignment horizontal="right"/>
    </xf>
    <xf numFmtId="1" fontId="11" fillId="2" borderId="0" xfId="5" applyNumberFormat="1" applyFont="1" applyFill="1" applyBorder="1" applyAlignment="1">
      <alignment horizontal="right" vertical="center"/>
    </xf>
    <xf numFmtId="41" fontId="7" fillId="2" borderId="0" xfId="10" applyFont="1" applyFill="1" applyBorder="1" applyAlignment="1">
      <alignment horizontal="right" vertical="center"/>
    </xf>
    <xf numFmtId="164" fontId="7" fillId="2" borderId="0" xfId="6" applyNumberFormat="1" applyFont="1" applyFill="1" applyBorder="1" applyAlignment="1">
      <alignment horizontal="right" vertical="center"/>
    </xf>
    <xf numFmtId="165" fontId="7" fillId="2" borderId="0" xfId="6" applyNumberFormat="1" applyFont="1" applyFill="1" applyBorder="1" applyAlignment="1">
      <alignment horizontal="right" vertical="center"/>
    </xf>
    <xf numFmtId="0" fontId="6" fillId="2" borderId="0" xfId="5" applyFont="1" applyFill="1" applyAlignment="1">
      <alignment horizontal="left" vertical="center"/>
    </xf>
    <xf numFmtId="0" fontId="10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horizontal="left" vertical="center"/>
    </xf>
    <xf numFmtId="0" fontId="7" fillId="2" borderId="0" xfId="5" applyFont="1" applyFill="1" applyBorder="1" applyAlignment="1">
      <alignment horizontal="right" vertical="center"/>
    </xf>
    <xf numFmtId="0" fontId="10" fillId="2" borderId="0" xfId="5" applyFont="1" applyFill="1" applyBorder="1" applyAlignment="1">
      <alignment horizontal="center" vertical="center"/>
    </xf>
    <xf numFmtId="0" fontId="10" fillId="2" borderId="0" xfId="5" applyFont="1" applyFill="1" applyBorder="1" applyAlignment="1">
      <alignment horizontal="right" vertical="center"/>
    </xf>
    <xf numFmtId="0" fontId="5" fillId="2" borderId="0" xfId="5" applyFont="1" applyFill="1" applyBorder="1" applyAlignment="1">
      <alignment horizontal="right"/>
    </xf>
    <xf numFmtId="1" fontId="7" fillId="2" borderId="0" xfId="5" applyNumberFormat="1" applyFont="1" applyFill="1" applyBorder="1" applyAlignment="1">
      <alignment horizontal="right" vertical="center"/>
    </xf>
    <xf numFmtId="1" fontId="7" fillId="0" borderId="23" xfId="5" applyNumberFormat="1" applyFont="1" applyFill="1" applyBorder="1" applyAlignment="1">
      <alignment horizontal="center" vertical="center"/>
    </xf>
    <xf numFmtId="3" fontId="5" fillId="0" borderId="6" xfId="5" applyNumberFormat="1" applyFont="1" applyFill="1" applyBorder="1" applyAlignment="1">
      <alignment horizontal="center" vertical="center"/>
    </xf>
    <xf numFmtId="165" fontId="15" fillId="0" borderId="6" xfId="6" applyNumberFormat="1" applyFont="1" applyFill="1" applyBorder="1" applyAlignment="1">
      <alignment horizontal="right" vertical="center"/>
    </xf>
    <xf numFmtId="165" fontId="5" fillId="0" borderId="6" xfId="6" applyNumberFormat="1" applyFont="1" applyFill="1" applyBorder="1" applyAlignment="1">
      <alignment horizontal="right" vertical="center"/>
    </xf>
    <xf numFmtId="165" fontId="6" fillId="0" borderId="6" xfId="6" applyNumberFormat="1" applyFont="1" applyFill="1" applyBorder="1" applyAlignment="1">
      <alignment horizontal="right" vertical="center"/>
    </xf>
    <xf numFmtId="0" fontId="6" fillId="0" borderId="3" xfId="5" applyFont="1" applyFill="1" applyBorder="1" applyAlignment="1">
      <alignment horizontal="center" wrapText="1"/>
    </xf>
    <xf numFmtId="165" fontId="6" fillId="0" borderId="3" xfId="6" applyNumberFormat="1" applyFont="1" applyFill="1" applyBorder="1" applyAlignment="1">
      <alignment horizontal="center"/>
    </xf>
    <xf numFmtId="0" fontId="5" fillId="0" borderId="23" xfId="5" applyFont="1" applyFill="1" applyBorder="1" applyAlignment="1"/>
    <xf numFmtId="0" fontId="5" fillId="0" borderId="6" xfId="5" applyFont="1" applyFill="1" applyBorder="1" applyAlignment="1">
      <alignment horizontal="center"/>
    </xf>
    <xf numFmtId="0" fontId="5" fillId="0" borderId="6" xfId="6" applyNumberFormat="1" applyFont="1" applyFill="1" applyBorder="1" applyAlignment="1">
      <alignment horizontal="center"/>
    </xf>
    <xf numFmtId="1" fontId="7" fillId="0" borderId="22" xfId="5" applyNumberFormat="1" applyFont="1" applyFill="1" applyBorder="1" applyAlignment="1">
      <alignment horizontal="center" vertical="center"/>
    </xf>
    <xf numFmtId="1" fontId="7" fillId="0" borderId="18" xfId="5" applyNumberFormat="1" applyFont="1" applyFill="1" applyBorder="1" applyAlignment="1">
      <alignment horizontal="center" vertical="center"/>
    </xf>
    <xf numFmtId="1" fontId="7" fillId="0" borderId="27" xfId="5" applyNumberFormat="1" applyFont="1" applyFill="1" applyBorder="1" applyAlignment="1">
      <alignment horizontal="center" vertical="center"/>
    </xf>
    <xf numFmtId="3" fontId="5" fillId="0" borderId="20" xfId="5" applyNumberFormat="1" applyFont="1" applyFill="1" applyBorder="1" applyAlignment="1">
      <alignment horizontal="center" vertical="center"/>
    </xf>
    <xf numFmtId="165" fontId="5" fillId="0" borderId="20" xfId="6" applyNumberFormat="1" applyFont="1" applyFill="1" applyBorder="1" applyAlignment="1">
      <alignment horizontal="right" vertical="center"/>
    </xf>
    <xf numFmtId="0" fontId="10" fillId="2" borderId="0" xfId="5" applyNumberFormat="1" applyFont="1" applyFill="1" applyBorder="1" applyAlignment="1">
      <alignment horizontal="left" vertical="center"/>
    </xf>
    <xf numFmtId="1" fontId="7" fillId="0" borderId="30" xfId="5" applyNumberFormat="1" applyFont="1" applyFill="1" applyBorder="1" applyAlignment="1">
      <alignment horizontal="center" vertical="center"/>
    </xf>
    <xf numFmtId="1" fontId="7" fillId="0" borderId="33" xfId="5" applyNumberFormat="1" applyFont="1" applyFill="1" applyBorder="1" applyAlignment="1">
      <alignment horizontal="center" vertical="center"/>
    </xf>
    <xf numFmtId="165" fontId="5" fillId="0" borderId="45" xfId="6" applyNumberFormat="1" applyFont="1" applyFill="1" applyBorder="1" applyAlignment="1">
      <alignment horizontal="right" vertical="center"/>
    </xf>
    <xf numFmtId="165" fontId="5" fillId="0" borderId="44" xfId="6" applyNumberFormat="1" applyFont="1" applyFill="1" applyBorder="1" applyAlignment="1">
      <alignment horizontal="right" vertical="center"/>
    </xf>
    <xf numFmtId="165" fontId="5" fillId="0" borderId="39" xfId="6" applyNumberFormat="1" applyFont="1" applyFill="1" applyBorder="1" applyAlignment="1">
      <alignment horizontal="right" vertical="center"/>
    </xf>
    <xf numFmtId="43" fontId="7" fillId="0" borderId="39" xfId="6" applyFont="1" applyFill="1" applyBorder="1" applyAlignment="1">
      <alignment horizontal="right" vertical="center"/>
    </xf>
    <xf numFmtId="3" fontId="7" fillId="0" borderId="7" xfId="5" applyNumberFormat="1" applyFont="1" applyFill="1" applyBorder="1" applyAlignment="1">
      <alignment horizontal="center" vertical="center"/>
    </xf>
    <xf numFmtId="3" fontId="7" fillId="0" borderId="33" xfId="5" applyNumberFormat="1" applyFont="1" applyFill="1" applyBorder="1" applyAlignment="1">
      <alignment horizontal="center" vertical="center"/>
    </xf>
    <xf numFmtId="0" fontId="5" fillId="0" borderId="33" xfId="5" applyFont="1" applyFill="1" applyBorder="1" applyAlignment="1">
      <alignment horizontal="center" vertical="center"/>
    </xf>
    <xf numFmtId="0" fontId="5" fillId="0" borderId="30" xfId="5" applyFont="1" applyFill="1" applyBorder="1" applyAlignment="1">
      <alignment horizontal="center" vertical="center"/>
    </xf>
    <xf numFmtId="3" fontId="5" fillId="0" borderId="33" xfId="5" applyNumberFormat="1" applyFont="1" applyFill="1" applyBorder="1" applyAlignment="1">
      <alignment horizontal="center" vertical="center"/>
    </xf>
    <xf numFmtId="165" fontId="6" fillId="3" borderId="3" xfId="6" applyNumberFormat="1" applyFont="1" applyFill="1" applyBorder="1" applyAlignment="1">
      <alignment horizontal="center"/>
    </xf>
    <xf numFmtId="0" fontId="5" fillId="3" borderId="6" xfId="6" applyNumberFormat="1" applyFont="1" applyFill="1" applyBorder="1" applyAlignment="1">
      <alignment horizontal="center"/>
    </xf>
    <xf numFmtId="165" fontId="5" fillId="3" borderId="4" xfId="6" applyNumberFormat="1" applyFont="1" applyFill="1" applyBorder="1" applyAlignment="1">
      <alignment horizontal="right" vertical="center"/>
    </xf>
    <xf numFmtId="165" fontId="5" fillId="3" borderId="1" xfId="6" applyNumberFormat="1" applyFont="1" applyFill="1" applyBorder="1" applyAlignment="1">
      <alignment horizontal="right" vertical="center"/>
    </xf>
    <xf numFmtId="1" fontId="10" fillId="3" borderId="1" xfId="5" applyNumberFormat="1" applyFont="1" applyFill="1" applyBorder="1" applyAlignment="1">
      <alignment vertical="center"/>
    </xf>
    <xf numFmtId="165" fontId="6" fillId="3" borderId="1" xfId="6" applyNumberFormat="1" applyFont="1" applyFill="1" applyBorder="1" applyAlignment="1">
      <alignment horizontal="right" vertical="center"/>
    </xf>
    <xf numFmtId="168" fontId="10" fillId="3" borderId="1" xfId="5" applyNumberFormat="1" applyFont="1" applyFill="1" applyBorder="1" applyAlignment="1">
      <alignment horizontal="right" vertical="center"/>
    </xf>
    <xf numFmtId="0" fontId="7" fillId="3" borderId="1" xfId="5" applyFont="1" applyFill="1" applyBorder="1" applyAlignment="1">
      <alignment horizontal="right" vertical="center"/>
    </xf>
    <xf numFmtId="165" fontId="5" fillId="3" borderId="20" xfId="6" applyNumberFormat="1" applyFont="1" applyFill="1" applyBorder="1" applyAlignment="1">
      <alignment horizontal="right" vertical="center"/>
    </xf>
    <xf numFmtId="165" fontId="5" fillId="3" borderId="6" xfId="6" applyNumberFormat="1" applyFont="1" applyFill="1" applyBorder="1" applyAlignment="1">
      <alignment horizontal="right" vertical="center"/>
    </xf>
    <xf numFmtId="165" fontId="6" fillId="3" borderId="6" xfId="6" applyNumberFormat="1" applyFont="1" applyFill="1" applyBorder="1" applyAlignment="1">
      <alignment horizontal="right" vertical="center"/>
    </xf>
    <xf numFmtId="165" fontId="9" fillId="3" borderId="1" xfId="6" applyNumberFormat="1" applyFont="1" applyFill="1" applyBorder="1" applyAlignment="1">
      <alignment horizontal="right" vertical="center"/>
    </xf>
    <xf numFmtId="43" fontId="6" fillId="3" borderId="1" xfId="9" applyFont="1" applyFill="1" applyBorder="1"/>
    <xf numFmtId="165" fontId="16" fillId="3" borderId="1" xfId="6" applyNumberFormat="1" applyFont="1" applyFill="1" applyBorder="1" applyAlignment="1">
      <alignment horizontal="right" vertical="center"/>
    </xf>
    <xf numFmtId="165" fontId="7" fillId="0" borderId="39" xfId="6" applyNumberFormat="1" applyFont="1" applyFill="1" applyBorder="1" applyAlignment="1">
      <alignment horizontal="right" vertical="center"/>
    </xf>
    <xf numFmtId="0" fontId="7" fillId="2" borderId="0" xfId="5" applyFont="1" applyFill="1" applyBorder="1" applyAlignment="1">
      <alignment horizontal="left" vertical="center" wrapText="1"/>
    </xf>
    <xf numFmtId="0" fontId="5" fillId="0" borderId="6" xfId="5" applyFont="1" applyFill="1" applyBorder="1" applyAlignment="1">
      <alignment horizontal="center" wrapText="1"/>
    </xf>
    <xf numFmtId="1" fontId="10" fillId="0" borderId="1" xfId="5" applyNumberFormat="1" applyFont="1" applyFill="1" applyBorder="1" applyAlignment="1">
      <alignment horizontal="right" vertical="center" wrapText="1"/>
    </xf>
    <xf numFmtId="168" fontId="10" fillId="0" borderId="1" xfId="5" applyNumberFormat="1" applyFont="1" applyFill="1" applyBorder="1" applyAlignment="1">
      <alignment horizontal="right" vertical="center" wrapText="1"/>
    </xf>
    <xf numFmtId="0" fontId="6" fillId="0" borderId="1" xfId="5" applyFont="1" applyFill="1" applyBorder="1" applyAlignment="1">
      <alignment horizontal="right" wrapText="1"/>
    </xf>
    <xf numFmtId="3" fontId="6" fillId="0" borderId="20" xfId="5" applyNumberFormat="1" applyFont="1" applyFill="1" applyBorder="1" applyAlignment="1">
      <alignment horizontal="left" vertical="center" wrapText="1"/>
    </xf>
    <xf numFmtId="3" fontId="6" fillId="0" borderId="6" xfId="5" applyNumberFormat="1" applyFont="1" applyFill="1" applyBorder="1" applyAlignment="1">
      <alignment horizontal="right" vertical="center" wrapText="1"/>
    </xf>
    <xf numFmtId="3" fontId="5" fillId="0" borderId="1" xfId="5" applyNumberFormat="1" applyFont="1" applyFill="1" applyBorder="1" applyAlignment="1">
      <alignment horizontal="left" vertical="center" wrapText="1"/>
    </xf>
    <xf numFmtId="3" fontId="6" fillId="0" borderId="1" xfId="5" applyNumberFormat="1" applyFont="1" applyFill="1" applyBorder="1" applyAlignment="1">
      <alignment horizontal="right" vertical="center" wrapText="1"/>
    </xf>
    <xf numFmtId="0" fontId="6" fillId="2" borderId="0" xfId="5" applyFont="1" applyFill="1" applyBorder="1" applyAlignment="1">
      <alignment wrapText="1"/>
    </xf>
    <xf numFmtId="0" fontId="6" fillId="0" borderId="0" xfId="5" applyFont="1" applyFill="1" applyBorder="1" applyAlignment="1">
      <alignment wrapText="1"/>
    </xf>
    <xf numFmtId="0" fontId="10" fillId="0" borderId="0" xfId="5" applyFont="1" applyFill="1" applyBorder="1" applyAlignment="1">
      <alignment vertical="center" wrapText="1"/>
    </xf>
    <xf numFmtId="0" fontId="10" fillId="0" borderId="0" xfId="5" applyFont="1" applyFill="1" applyBorder="1" applyAlignment="1">
      <alignment horizontal="left" vertical="center" wrapText="1"/>
    </xf>
    <xf numFmtId="0" fontId="15" fillId="0" borderId="0" xfId="5" applyFont="1" applyFill="1" applyBorder="1" applyAlignment="1">
      <alignment horizontal="left" vertical="center" wrapText="1"/>
    </xf>
    <xf numFmtId="0" fontId="5" fillId="0" borderId="2" xfId="5" applyFont="1" applyFill="1" applyBorder="1" applyAlignment="1"/>
    <xf numFmtId="0" fontId="5" fillId="0" borderId="2" xfId="5" applyFont="1" applyFill="1" applyBorder="1" applyAlignment="1">
      <alignment horizontal="center"/>
    </xf>
    <xf numFmtId="3" fontId="5" fillId="0" borderId="10" xfId="5" applyNumberFormat="1" applyFont="1" applyFill="1" applyBorder="1" applyAlignment="1">
      <alignment horizontal="center" vertical="center"/>
    </xf>
    <xf numFmtId="1" fontId="7" fillId="2" borderId="22" xfId="5" applyNumberFormat="1" applyFont="1" applyFill="1" applyBorder="1" applyAlignment="1">
      <alignment horizontal="center" vertical="center"/>
    </xf>
    <xf numFmtId="0" fontId="6" fillId="2" borderId="1" xfId="5" applyFont="1" applyFill="1" applyBorder="1" applyAlignment="1">
      <alignment horizontal="right" wrapText="1"/>
    </xf>
    <xf numFmtId="0" fontId="6" fillId="2" borderId="1" xfId="5" applyFont="1" applyFill="1" applyBorder="1" applyAlignment="1">
      <alignment horizontal="center"/>
    </xf>
    <xf numFmtId="165" fontId="6" fillId="2" borderId="1" xfId="6" applyNumberFormat="1" applyFont="1" applyFill="1" applyBorder="1" applyAlignment="1">
      <alignment horizontal="right" vertical="center"/>
    </xf>
    <xf numFmtId="165" fontId="6" fillId="4" borderId="3" xfId="6" applyNumberFormat="1" applyFont="1" applyFill="1" applyBorder="1" applyAlignment="1">
      <alignment horizontal="center"/>
    </xf>
    <xf numFmtId="0" fontId="5" fillId="4" borderId="6" xfId="6" applyNumberFormat="1" applyFont="1" applyFill="1" applyBorder="1" applyAlignment="1">
      <alignment horizontal="center"/>
    </xf>
    <xf numFmtId="165" fontId="5" fillId="4" borderId="4" xfId="6" applyNumberFormat="1" applyFont="1" applyFill="1" applyBorder="1" applyAlignment="1">
      <alignment horizontal="right" vertical="center"/>
    </xf>
    <xf numFmtId="165" fontId="5" fillId="4" borderId="1" xfId="6" applyNumberFormat="1" applyFont="1" applyFill="1" applyBorder="1" applyAlignment="1">
      <alignment horizontal="right" vertical="center"/>
    </xf>
    <xf numFmtId="1" fontId="10" fillId="4" borderId="1" xfId="5" applyNumberFormat="1" applyFont="1" applyFill="1" applyBorder="1" applyAlignment="1">
      <alignment vertical="center"/>
    </xf>
    <xf numFmtId="165" fontId="6" fillId="4" borderId="1" xfId="6" applyNumberFormat="1" applyFont="1" applyFill="1" applyBorder="1" applyAlignment="1">
      <alignment horizontal="right" vertical="center"/>
    </xf>
    <xf numFmtId="168" fontId="10" fillId="4" borderId="1" xfId="5" applyNumberFormat="1" applyFont="1" applyFill="1" applyBorder="1" applyAlignment="1">
      <alignment horizontal="right" vertical="center"/>
    </xf>
    <xf numFmtId="0" fontId="7" fillId="4" borderId="1" xfId="5" applyFont="1" applyFill="1" applyBorder="1" applyAlignment="1">
      <alignment horizontal="right" vertical="center"/>
    </xf>
    <xf numFmtId="165" fontId="5" fillId="4" borderId="20" xfId="6" applyNumberFormat="1" applyFont="1" applyFill="1" applyBorder="1" applyAlignment="1">
      <alignment horizontal="right" vertical="center"/>
    </xf>
    <xf numFmtId="165" fontId="5" fillId="4" borderId="6" xfId="6" applyNumberFormat="1" applyFont="1" applyFill="1" applyBorder="1" applyAlignment="1">
      <alignment horizontal="right" vertical="center"/>
    </xf>
    <xf numFmtId="165" fontId="6" fillId="4" borderId="6" xfId="6" applyNumberFormat="1" applyFont="1" applyFill="1" applyBorder="1" applyAlignment="1">
      <alignment horizontal="right" vertical="center"/>
    </xf>
    <xf numFmtId="165" fontId="9" fillId="4" borderId="1" xfId="6" applyNumberFormat="1" applyFont="1" applyFill="1" applyBorder="1" applyAlignment="1">
      <alignment horizontal="right" vertical="center"/>
    </xf>
    <xf numFmtId="43" fontId="6" fillId="4" borderId="1" xfId="9" applyFont="1" applyFill="1" applyBorder="1"/>
    <xf numFmtId="165" fontId="16" fillId="4" borderId="1" xfId="6" applyNumberFormat="1" applyFont="1" applyFill="1" applyBorder="1" applyAlignment="1">
      <alignment horizontal="right" vertical="center"/>
    </xf>
    <xf numFmtId="165" fontId="6" fillId="5" borderId="3" xfId="6" applyNumberFormat="1" applyFont="1" applyFill="1" applyBorder="1" applyAlignment="1">
      <alignment horizontal="center"/>
    </xf>
    <xf numFmtId="165" fontId="6" fillId="5" borderId="26" xfId="6" applyNumberFormat="1" applyFont="1" applyFill="1" applyBorder="1" applyAlignment="1">
      <alignment horizontal="center"/>
    </xf>
    <xf numFmtId="0" fontId="5" fillId="5" borderId="6" xfId="6" applyNumberFormat="1" applyFont="1" applyFill="1" applyBorder="1" applyAlignment="1">
      <alignment horizontal="center"/>
    </xf>
    <xf numFmtId="0" fontId="5" fillId="5" borderId="24" xfId="6" applyNumberFormat="1" applyFont="1" applyFill="1" applyBorder="1" applyAlignment="1">
      <alignment horizontal="center"/>
    </xf>
    <xf numFmtId="165" fontId="5" fillId="5" borderId="4" xfId="6" applyNumberFormat="1" applyFont="1" applyFill="1" applyBorder="1" applyAlignment="1">
      <alignment horizontal="right" vertical="center"/>
    </xf>
    <xf numFmtId="165" fontId="5" fillId="5" borderId="19" xfId="6" applyNumberFormat="1" applyFont="1" applyFill="1" applyBorder="1" applyAlignment="1">
      <alignment horizontal="right" vertical="center"/>
    </xf>
    <xf numFmtId="165" fontId="5" fillId="5" borderId="1" xfId="6" applyNumberFormat="1" applyFont="1" applyFill="1" applyBorder="1" applyAlignment="1">
      <alignment horizontal="right" vertical="center"/>
    </xf>
    <xf numFmtId="1" fontId="10" fillId="5" borderId="1" xfId="5" applyNumberFormat="1" applyFont="1" applyFill="1" applyBorder="1" applyAlignment="1">
      <alignment vertical="center"/>
    </xf>
    <xf numFmtId="165" fontId="6" fillId="5" borderId="1" xfId="6" applyNumberFormat="1" applyFont="1" applyFill="1" applyBorder="1" applyAlignment="1">
      <alignment horizontal="right" vertical="center"/>
    </xf>
    <xf numFmtId="165" fontId="6" fillId="5" borderId="19" xfId="6" applyNumberFormat="1" applyFont="1" applyFill="1" applyBorder="1" applyAlignment="1">
      <alignment horizontal="right" vertical="center"/>
    </xf>
    <xf numFmtId="168" fontId="10" fillId="5" borderId="1" xfId="5" applyNumberFormat="1" applyFont="1" applyFill="1" applyBorder="1" applyAlignment="1">
      <alignment horizontal="right" vertical="center"/>
    </xf>
    <xf numFmtId="168" fontId="10" fillId="5" borderId="19" xfId="5" applyNumberFormat="1" applyFont="1" applyFill="1" applyBorder="1" applyAlignment="1">
      <alignment horizontal="right" vertical="center"/>
    </xf>
    <xf numFmtId="164" fontId="7" fillId="5" borderId="1" xfId="6" applyNumberFormat="1" applyFont="1" applyFill="1" applyBorder="1" applyAlignment="1">
      <alignment horizontal="right" vertical="center"/>
    </xf>
    <xf numFmtId="165" fontId="5" fillId="5" borderId="20" xfId="6" applyNumberFormat="1" applyFont="1" applyFill="1" applyBorder="1" applyAlignment="1">
      <alignment horizontal="right" vertical="center"/>
    </xf>
    <xf numFmtId="165" fontId="5" fillId="5" borderId="21" xfId="6" applyNumberFormat="1" applyFont="1" applyFill="1" applyBorder="1" applyAlignment="1">
      <alignment horizontal="right" vertical="center"/>
    </xf>
    <xf numFmtId="165" fontId="5" fillId="5" borderId="6" xfId="6" applyNumberFormat="1" applyFont="1" applyFill="1" applyBorder="1" applyAlignment="1">
      <alignment horizontal="right" vertical="center"/>
    </xf>
    <xf numFmtId="165" fontId="6" fillId="5" borderId="24" xfId="6" applyNumberFormat="1" applyFont="1" applyFill="1" applyBorder="1" applyAlignment="1">
      <alignment horizontal="right" vertical="center"/>
    </xf>
    <xf numFmtId="165" fontId="9" fillId="5" borderId="1" xfId="6" applyNumberFormat="1" applyFont="1" applyFill="1" applyBorder="1" applyAlignment="1">
      <alignment horizontal="right" vertical="center"/>
    </xf>
    <xf numFmtId="43" fontId="6" fillId="5" borderId="1" xfId="9" applyFont="1" applyFill="1" applyBorder="1"/>
    <xf numFmtId="165" fontId="16" fillId="5" borderId="1" xfId="6" applyNumberFormat="1" applyFont="1" applyFill="1" applyBorder="1" applyAlignment="1">
      <alignment horizontal="right" vertical="center"/>
    </xf>
    <xf numFmtId="0" fontId="10" fillId="2" borderId="0" xfId="5" applyFont="1" applyFill="1" applyAlignment="1">
      <alignment vertical="center"/>
    </xf>
    <xf numFmtId="0" fontId="6" fillId="2" borderId="0" xfId="5" applyFont="1" applyFill="1" applyBorder="1" applyAlignment="1"/>
    <xf numFmtId="0" fontId="28" fillId="0" borderId="0" xfId="7" applyFont="1" applyFill="1" applyBorder="1" applyAlignment="1">
      <alignment horizontal="left" vertical="center"/>
    </xf>
    <xf numFmtId="0" fontId="7" fillId="2" borderId="46" xfId="5" applyFont="1" applyFill="1" applyBorder="1" applyAlignment="1">
      <alignment horizontal="center" vertical="center"/>
    </xf>
    <xf numFmtId="165" fontId="6" fillId="6" borderId="42" xfId="6" applyNumberFormat="1" applyFont="1" applyFill="1" applyBorder="1" applyAlignment="1">
      <alignment horizontal="center"/>
    </xf>
    <xf numFmtId="165" fontId="6" fillId="6" borderId="54" xfId="6" applyNumberFormat="1" applyFont="1" applyFill="1" applyBorder="1" applyAlignment="1">
      <alignment horizontal="center"/>
    </xf>
    <xf numFmtId="165" fontId="10" fillId="7" borderId="25" xfId="6" applyNumberFormat="1" applyFont="1" applyFill="1" applyBorder="1" applyAlignment="1">
      <alignment horizontal="center"/>
    </xf>
    <xf numFmtId="165" fontId="10" fillId="7" borderId="54" xfId="6" applyNumberFormat="1" applyFont="1" applyFill="1" applyBorder="1" applyAlignment="1">
      <alignment horizontal="center"/>
    </xf>
    <xf numFmtId="0" fontId="5" fillId="0" borderId="5" xfId="6" applyNumberFormat="1" applyFont="1" applyFill="1" applyBorder="1" applyAlignment="1">
      <alignment horizontal="center"/>
    </xf>
    <xf numFmtId="0" fontId="5" fillId="6" borderId="43" xfId="6" applyNumberFormat="1" applyFont="1" applyFill="1" applyBorder="1" applyAlignment="1">
      <alignment horizontal="center"/>
    </xf>
    <xf numFmtId="0" fontId="5" fillId="6" borderId="56" xfId="6" applyNumberFormat="1" applyFont="1" applyFill="1" applyBorder="1" applyAlignment="1">
      <alignment horizontal="center"/>
    </xf>
    <xf numFmtId="0" fontId="7" fillId="7" borderId="23" xfId="6" applyNumberFormat="1" applyFont="1" applyFill="1" applyBorder="1" applyAlignment="1">
      <alignment horizontal="center"/>
    </xf>
    <xf numFmtId="0" fontId="7" fillId="7" borderId="56" xfId="6" applyNumberFormat="1" applyFont="1" applyFill="1" applyBorder="1" applyAlignment="1">
      <alignment horizontal="center"/>
    </xf>
    <xf numFmtId="165" fontId="5" fillId="6" borderId="58" xfId="6" applyNumberFormat="1" applyFont="1" applyFill="1" applyBorder="1" applyAlignment="1">
      <alignment horizontal="right" vertical="center"/>
    </xf>
    <xf numFmtId="165" fontId="5" fillId="6" borderId="59" xfId="6" applyNumberFormat="1" applyFont="1" applyFill="1" applyBorder="1" applyAlignment="1">
      <alignment horizontal="right" vertical="center"/>
    </xf>
    <xf numFmtId="0" fontId="7" fillId="7" borderId="22" xfId="5" applyFont="1" applyFill="1" applyBorder="1" applyAlignment="1">
      <alignment horizontal="right" vertical="center"/>
    </xf>
    <xf numFmtId="165" fontId="7" fillId="7" borderId="59" xfId="14" applyNumberFormat="1" applyFont="1" applyFill="1" applyBorder="1" applyAlignment="1">
      <alignment horizontal="right" vertical="center"/>
    </xf>
    <xf numFmtId="165" fontId="7" fillId="8" borderId="15" xfId="5" applyNumberFormat="1" applyFont="1" applyFill="1" applyBorder="1" applyAlignment="1">
      <alignment horizontal="left" vertical="center"/>
    </xf>
    <xf numFmtId="165" fontId="7" fillId="8" borderId="17" xfId="5" applyNumberFormat="1" applyFont="1" applyFill="1" applyBorder="1" applyAlignment="1">
      <alignment horizontal="left" vertical="center"/>
    </xf>
    <xf numFmtId="165" fontId="5" fillId="6" borderId="42" xfId="6" applyNumberFormat="1" applyFont="1" applyFill="1" applyBorder="1" applyAlignment="1">
      <alignment horizontal="right" vertical="center"/>
    </xf>
    <xf numFmtId="165" fontId="5" fillId="6" borderId="54" xfId="6" applyNumberFormat="1" applyFont="1" applyFill="1" applyBorder="1" applyAlignment="1">
      <alignment horizontal="right" vertical="center"/>
    </xf>
    <xf numFmtId="0" fontId="7" fillId="7" borderId="25" xfId="5" applyFont="1" applyFill="1" applyBorder="1" applyAlignment="1">
      <alignment horizontal="right" vertical="center"/>
    </xf>
    <xf numFmtId="165" fontId="7" fillId="7" borderId="54" xfId="14" applyNumberFormat="1" applyFont="1" applyFill="1" applyBorder="1" applyAlignment="1">
      <alignment horizontal="right" vertical="center"/>
    </xf>
    <xf numFmtId="165" fontId="7" fillId="8" borderId="48" xfId="5" applyNumberFormat="1" applyFont="1" applyFill="1" applyBorder="1" applyAlignment="1">
      <alignment horizontal="left" vertical="center"/>
    </xf>
    <xf numFmtId="165" fontId="7" fillId="8" borderId="21" xfId="5" applyNumberFormat="1" applyFont="1" applyFill="1" applyBorder="1" applyAlignment="1">
      <alignment horizontal="left" vertical="center"/>
    </xf>
    <xf numFmtId="1" fontId="10" fillId="6" borderId="2" xfId="5" applyNumberFormat="1" applyFont="1" applyFill="1" applyBorder="1" applyAlignment="1">
      <alignment horizontal="center" vertical="center"/>
    </xf>
    <xf numFmtId="1" fontId="10" fillId="6" borderId="2" xfId="5" applyNumberFormat="1" applyFont="1" applyFill="1" applyBorder="1" applyAlignment="1">
      <alignment vertical="center"/>
    </xf>
    <xf numFmtId="1" fontId="10" fillId="6" borderId="5" xfId="5" applyNumberFormat="1" applyFont="1" applyFill="1" applyBorder="1" applyAlignment="1">
      <alignment vertical="center"/>
    </xf>
    <xf numFmtId="1" fontId="10" fillId="6" borderId="43" xfId="5" applyNumberFormat="1" applyFont="1" applyFill="1" applyBorder="1" applyAlignment="1">
      <alignment vertical="center"/>
    </xf>
    <xf numFmtId="165" fontId="6" fillId="6" borderId="56" xfId="6" applyNumberFormat="1" applyFont="1" applyFill="1" applyBorder="1" applyAlignment="1">
      <alignment horizontal="right" vertical="center"/>
    </xf>
    <xf numFmtId="165" fontId="27" fillId="7" borderId="23" xfId="1" applyNumberFormat="1" applyFont="1" applyFill="1" applyBorder="1" applyAlignment="1">
      <alignment horizontal="right" vertical="center"/>
    </xf>
    <xf numFmtId="165" fontId="27" fillId="7" borderId="56" xfId="1" applyNumberFormat="1" applyFont="1" applyFill="1" applyBorder="1" applyAlignment="1">
      <alignment horizontal="right" vertical="center"/>
    </xf>
    <xf numFmtId="165" fontId="6" fillId="0" borderId="39" xfId="6" applyNumberFormat="1" applyFont="1" applyFill="1" applyBorder="1" applyAlignment="1">
      <alignment horizontal="right" vertical="center"/>
    </xf>
    <xf numFmtId="165" fontId="5" fillId="6" borderId="37" xfId="6" applyNumberFormat="1" applyFont="1" applyFill="1" applyBorder="1" applyAlignment="1">
      <alignment horizontal="right" vertical="center"/>
    </xf>
    <xf numFmtId="165" fontId="5" fillId="6" borderId="13" xfId="6" applyNumberFormat="1" applyFont="1" applyFill="1" applyBorder="1" applyAlignment="1">
      <alignment horizontal="right" vertical="center"/>
    </xf>
    <xf numFmtId="0" fontId="7" fillId="7" borderId="18" xfId="5" applyFont="1" applyFill="1" applyBorder="1" applyAlignment="1">
      <alignment horizontal="right" vertical="center"/>
    </xf>
    <xf numFmtId="165" fontId="7" fillId="7" borderId="13" xfId="14" applyNumberFormat="1" applyFont="1" applyFill="1" applyBorder="1" applyAlignment="1">
      <alignment horizontal="right" vertical="center"/>
    </xf>
    <xf numFmtId="165" fontId="7" fillId="8" borderId="18" xfId="5" applyNumberFormat="1" applyFont="1" applyFill="1" applyBorder="1" applyAlignment="1">
      <alignment horizontal="left" vertical="center"/>
    </xf>
    <xf numFmtId="165" fontId="7" fillId="8" borderId="19" xfId="5" applyNumberFormat="1" applyFont="1" applyFill="1" applyBorder="1" applyAlignment="1">
      <alignment horizontal="left" vertical="center"/>
    </xf>
    <xf numFmtId="3" fontId="10" fillId="6" borderId="9" xfId="5" applyNumberFormat="1" applyFont="1" applyFill="1" applyBorder="1" applyAlignment="1">
      <alignment horizontal="center" vertical="center"/>
    </xf>
    <xf numFmtId="165" fontId="6" fillId="6" borderId="65" xfId="6" applyNumberFormat="1" applyFont="1" applyFill="1" applyBorder="1" applyAlignment="1">
      <alignment horizontal="right" vertical="center"/>
    </xf>
    <xf numFmtId="165" fontId="6" fillId="6" borderId="66" xfId="6" applyNumberFormat="1" applyFont="1" applyFill="1" applyBorder="1" applyAlignment="1">
      <alignment horizontal="right" vertical="center"/>
    </xf>
    <xf numFmtId="165" fontId="6" fillId="6" borderId="67" xfId="6" applyNumberFormat="1" applyFont="1" applyFill="1" applyBorder="1" applyAlignment="1">
      <alignment horizontal="right" vertical="center"/>
    </xf>
    <xf numFmtId="165" fontId="10" fillId="7" borderId="29" xfId="6" applyNumberFormat="1" applyFont="1" applyFill="1" applyBorder="1" applyAlignment="1">
      <alignment horizontal="right" vertical="center"/>
    </xf>
    <xf numFmtId="165" fontId="10" fillId="7" borderId="67" xfId="6" applyNumberFormat="1" applyFont="1" applyFill="1" applyBorder="1" applyAlignment="1">
      <alignment horizontal="right" vertical="center"/>
    </xf>
    <xf numFmtId="0" fontId="29" fillId="0" borderId="41" xfId="3" applyFont="1" applyFill="1" applyBorder="1" applyAlignment="1">
      <alignment wrapText="1"/>
    </xf>
    <xf numFmtId="0" fontId="29" fillId="0" borderId="37" xfId="3" applyFont="1" applyFill="1" applyBorder="1" applyAlignment="1">
      <alignment wrapText="1"/>
    </xf>
    <xf numFmtId="0" fontId="29" fillId="0" borderId="37" xfId="3" applyFont="1" applyFill="1" applyBorder="1" applyAlignment="1">
      <alignment vertical="top" wrapText="1"/>
    </xf>
    <xf numFmtId="3" fontId="7" fillId="0" borderId="46" xfId="5" applyNumberFormat="1" applyFont="1" applyFill="1" applyBorder="1" applyAlignment="1">
      <alignment horizontal="left" vertical="center" wrapText="1"/>
    </xf>
    <xf numFmtId="165" fontId="7" fillId="8" borderId="22" xfId="5" applyNumberFormat="1" applyFont="1" applyFill="1" applyBorder="1" applyAlignment="1">
      <alignment horizontal="left" vertical="center"/>
    </xf>
    <xf numFmtId="165" fontId="7" fillId="8" borderId="57" xfId="5" applyNumberFormat="1" applyFont="1" applyFill="1" applyBorder="1" applyAlignment="1">
      <alignment horizontal="left" vertical="center"/>
    </xf>
    <xf numFmtId="165" fontId="7" fillId="8" borderId="25" xfId="5" applyNumberFormat="1" applyFont="1" applyFill="1" applyBorder="1" applyAlignment="1">
      <alignment horizontal="left" vertical="center"/>
    </xf>
    <xf numFmtId="1" fontId="10" fillId="6" borderId="28" xfId="5" applyNumberFormat="1" applyFont="1" applyFill="1" applyBorder="1" applyAlignment="1">
      <alignment horizontal="center" vertical="center"/>
    </xf>
    <xf numFmtId="3" fontId="10" fillId="6" borderId="28" xfId="5" applyNumberFormat="1" applyFont="1" applyFill="1" applyBorder="1" applyAlignment="1">
      <alignment horizontal="center" vertical="center"/>
    </xf>
    <xf numFmtId="165" fontId="10" fillId="6" borderId="38" xfId="6" applyNumberFormat="1" applyFont="1" applyFill="1" applyBorder="1" applyAlignment="1">
      <alignment horizontal="right" vertical="center"/>
    </xf>
    <xf numFmtId="165" fontId="6" fillId="6" borderId="41" xfId="6" applyNumberFormat="1" applyFont="1" applyFill="1" applyBorder="1" applyAlignment="1">
      <alignment horizontal="right" vertical="center"/>
    </xf>
    <xf numFmtId="165" fontId="6" fillId="6" borderId="50" xfId="6" applyNumberFormat="1" applyFont="1" applyFill="1" applyBorder="1" applyAlignment="1">
      <alignment horizontal="right" vertical="center"/>
    </xf>
    <xf numFmtId="165" fontId="10" fillId="7" borderId="15" xfId="6" applyNumberFormat="1" applyFont="1" applyFill="1" applyBorder="1" applyAlignment="1">
      <alignment horizontal="right" vertical="center"/>
    </xf>
    <xf numFmtId="165" fontId="10" fillId="7" borderId="50" xfId="6" applyNumberFormat="1" applyFont="1" applyFill="1" applyBorder="1" applyAlignment="1">
      <alignment horizontal="right" vertical="center"/>
    </xf>
    <xf numFmtId="1" fontId="10" fillId="6" borderId="8" xfId="5" applyNumberFormat="1" applyFont="1" applyFill="1" applyBorder="1" applyAlignment="1">
      <alignment horizontal="center" vertical="center"/>
    </xf>
    <xf numFmtId="168" fontId="10" fillId="6" borderId="8" xfId="5" applyNumberFormat="1" applyFont="1" applyFill="1" applyBorder="1" applyAlignment="1">
      <alignment horizontal="left" vertical="center"/>
    </xf>
    <xf numFmtId="168" fontId="10" fillId="6" borderId="40" xfId="5" applyNumberFormat="1" applyFont="1" applyFill="1" applyBorder="1" applyAlignment="1">
      <alignment horizontal="right" vertical="center"/>
    </xf>
    <xf numFmtId="168" fontId="10" fillId="6" borderId="69" xfId="5" applyNumberFormat="1" applyFont="1" applyFill="1" applyBorder="1" applyAlignment="1">
      <alignment horizontal="right" vertical="center"/>
    </xf>
    <xf numFmtId="168" fontId="10" fillId="6" borderId="51" xfId="5" applyNumberFormat="1" applyFont="1" applyFill="1" applyBorder="1" applyAlignment="1">
      <alignment horizontal="right" vertical="center"/>
    </xf>
    <xf numFmtId="165" fontId="10" fillId="7" borderId="48" xfId="6" applyNumberFormat="1" applyFont="1" applyFill="1" applyBorder="1" applyAlignment="1">
      <alignment horizontal="right" vertical="center"/>
    </xf>
    <xf numFmtId="165" fontId="10" fillId="7" borderId="51" xfId="6" applyNumberFormat="1" applyFont="1" applyFill="1" applyBorder="1" applyAlignment="1">
      <alignment horizontal="right" vertical="center"/>
    </xf>
    <xf numFmtId="0" fontId="7" fillId="6" borderId="37" xfId="5" applyFont="1" applyFill="1" applyBorder="1" applyAlignment="1">
      <alignment horizontal="right" vertical="center"/>
    </xf>
    <xf numFmtId="1" fontId="7" fillId="6" borderId="7" xfId="5" applyNumberFormat="1" applyFont="1" applyFill="1" applyBorder="1" applyAlignment="1">
      <alignment horizontal="center" vertical="center"/>
    </xf>
    <xf numFmtId="0" fontId="5" fillId="6" borderId="2" xfId="5" applyFont="1" applyFill="1" applyBorder="1" applyAlignment="1">
      <alignment horizontal="center" vertical="center"/>
    </xf>
    <xf numFmtId="165" fontId="5" fillId="6" borderId="5" xfId="6" applyNumberFormat="1" applyFont="1" applyFill="1" applyBorder="1" applyAlignment="1">
      <alignment horizontal="right" vertical="center"/>
    </xf>
    <xf numFmtId="165" fontId="5" fillId="6" borderId="43" xfId="6" applyNumberFormat="1" applyFont="1" applyFill="1" applyBorder="1" applyAlignment="1">
      <alignment horizontal="right" vertical="center"/>
    </xf>
    <xf numFmtId="1" fontId="7" fillId="6" borderId="2" xfId="5" applyNumberFormat="1" applyFont="1" applyFill="1" applyBorder="1" applyAlignment="1">
      <alignment horizontal="center" vertical="center"/>
    </xf>
    <xf numFmtId="3" fontId="10" fillId="6" borderId="2" xfId="5" applyNumberFormat="1" applyFont="1" applyFill="1" applyBorder="1" applyAlignment="1">
      <alignment horizontal="center" vertical="center"/>
    </xf>
    <xf numFmtId="165" fontId="6" fillId="6" borderId="5" xfId="6" applyNumberFormat="1" applyFont="1" applyFill="1" applyBorder="1" applyAlignment="1">
      <alignment horizontal="right" vertical="center"/>
    </xf>
    <xf numFmtId="165" fontId="6" fillId="6" borderId="43" xfId="6" applyNumberFormat="1" applyFont="1" applyFill="1" applyBorder="1" applyAlignment="1">
      <alignment horizontal="right" vertical="center"/>
    </xf>
    <xf numFmtId="0" fontId="5" fillId="0" borderId="7" xfId="5" applyFont="1" applyFill="1" applyBorder="1" applyAlignment="1">
      <alignment horizontal="center" vertical="center"/>
    </xf>
    <xf numFmtId="165" fontId="6" fillId="0" borderId="45" xfId="6" applyNumberFormat="1" applyFont="1" applyFill="1" applyBorder="1" applyAlignment="1">
      <alignment horizontal="right" vertical="center"/>
    </xf>
    <xf numFmtId="165" fontId="6" fillId="6" borderId="58" xfId="6" applyNumberFormat="1" applyFont="1" applyFill="1" applyBorder="1" applyAlignment="1">
      <alignment horizontal="right" vertical="center"/>
    </xf>
    <xf numFmtId="165" fontId="6" fillId="6" borderId="42" xfId="6" applyNumberFormat="1" applyFont="1" applyFill="1" applyBorder="1" applyAlignment="1">
      <alignment horizontal="right" vertical="center"/>
    </xf>
    <xf numFmtId="165" fontId="7" fillId="8" borderId="26" xfId="5" applyNumberFormat="1" applyFont="1" applyFill="1" applyBorder="1" applyAlignment="1">
      <alignment horizontal="left" vertical="center"/>
    </xf>
    <xf numFmtId="0" fontId="6" fillId="6" borderId="2" xfId="5" applyFont="1" applyFill="1" applyBorder="1" applyAlignment="1">
      <alignment horizontal="center"/>
    </xf>
    <xf numFmtId="165" fontId="26" fillId="7" borderId="23" xfId="1" applyNumberFormat="1" applyFont="1" applyFill="1" applyBorder="1" applyAlignment="1">
      <alignment horizontal="right" vertical="center"/>
    </xf>
    <xf numFmtId="165" fontId="26" fillId="7" borderId="56" xfId="1" applyNumberFormat="1" applyFont="1" applyFill="1" applyBorder="1" applyAlignment="1">
      <alignment horizontal="right" vertical="center"/>
    </xf>
    <xf numFmtId="165" fontId="5" fillId="0" borderId="0" xfId="6" applyNumberFormat="1" applyFont="1" applyFill="1" applyBorder="1" applyAlignment="1">
      <alignment horizontal="right" vertical="center"/>
    </xf>
    <xf numFmtId="165" fontId="5" fillId="6" borderId="76" xfId="6" applyNumberFormat="1" applyFont="1" applyFill="1" applyBorder="1" applyAlignment="1">
      <alignment horizontal="right" vertical="center"/>
    </xf>
    <xf numFmtId="165" fontId="5" fillId="6" borderId="62" xfId="6" applyNumberFormat="1" applyFont="1" applyFill="1" applyBorder="1" applyAlignment="1">
      <alignment horizontal="right" vertical="center"/>
    </xf>
    <xf numFmtId="0" fontId="7" fillId="7" borderId="61" xfId="5" applyFont="1" applyFill="1" applyBorder="1" applyAlignment="1">
      <alignment horizontal="right" vertical="center"/>
    </xf>
    <xf numFmtId="165" fontId="7" fillId="7" borderId="62" xfId="14" applyNumberFormat="1" applyFont="1" applyFill="1" applyBorder="1" applyAlignment="1">
      <alignment horizontal="right" vertical="center"/>
    </xf>
    <xf numFmtId="165" fontId="7" fillId="8" borderId="61" xfId="5" applyNumberFormat="1" applyFont="1" applyFill="1" applyBorder="1" applyAlignment="1">
      <alignment horizontal="left" vertical="center"/>
    </xf>
    <xf numFmtId="165" fontId="7" fillId="8" borderId="68" xfId="5" applyNumberFormat="1" applyFont="1" applyFill="1" applyBorder="1" applyAlignment="1">
      <alignment horizontal="left" vertical="center"/>
    </xf>
    <xf numFmtId="3" fontId="5" fillId="6" borderId="2" xfId="5" applyNumberFormat="1" applyFont="1" applyFill="1" applyBorder="1" applyAlignment="1">
      <alignment horizontal="center" vertical="center"/>
    </xf>
    <xf numFmtId="165" fontId="15" fillId="6" borderId="5" xfId="6" applyNumberFormat="1" applyFont="1" applyFill="1" applyBorder="1" applyAlignment="1">
      <alignment horizontal="right" vertical="center"/>
    </xf>
    <xf numFmtId="165" fontId="10" fillId="0" borderId="39" xfId="6" applyNumberFormat="1" applyFont="1" applyFill="1" applyBorder="1" applyAlignment="1">
      <alignment horizontal="right" vertical="center"/>
    </xf>
    <xf numFmtId="3" fontId="5" fillId="0" borderId="30" xfId="5" applyNumberFormat="1" applyFont="1" applyFill="1" applyBorder="1" applyAlignment="1">
      <alignment horizontal="center" vertical="center"/>
    </xf>
    <xf numFmtId="165" fontId="7" fillId="0" borderId="44" xfId="6" applyNumberFormat="1" applyFont="1" applyFill="1" applyBorder="1" applyAlignment="1">
      <alignment horizontal="right" vertical="center"/>
    </xf>
    <xf numFmtId="0" fontId="7" fillId="7" borderId="48" xfId="5" applyFont="1" applyFill="1" applyBorder="1" applyAlignment="1">
      <alignment horizontal="right" vertical="center"/>
    </xf>
    <xf numFmtId="165" fontId="7" fillId="7" borderId="51" xfId="14" applyNumberFormat="1" applyFont="1" applyFill="1" applyBorder="1" applyAlignment="1">
      <alignment horizontal="right" vertical="center"/>
    </xf>
    <xf numFmtId="0" fontId="30" fillId="0" borderId="0" xfId="7" applyFont="1" applyFill="1" applyBorder="1" applyAlignment="1">
      <alignment horizontal="left" vertical="center"/>
    </xf>
    <xf numFmtId="0" fontId="30" fillId="0" borderId="0" xfId="7" applyFont="1" applyFill="1" applyBorder="1" applyAlignment="1">
      <alignment horizontal="center" vertical="center"/>
    </xf>
    <xf numFmtId="9" fontId="30" fillId="0" borderId="0" xfId="13" applyFont="1" applyFill="1" applyBorder="1" applyAlignment="1">
      <alignment horizontal="left" vertical="center"/>
    </xf>
    <xf numFmtId="0" fontId="26" fillId="0" borderId="0" xfId="7" applyFont="1" applyFill="1" applyBorder="1" applyAlignment="1">
      <alignment horizontal="left" vertical="center"/>
    </xf>
    <xf numFmtId="0" fontId="31" fillId="0" borderId="0" xfId="7" applyFont="1" applyFill="1" applyBorder="1" applyAlignment="1">
      <alignment horizontal="left" vertical="center"/>
    </xf>
    <xf numFmtId="165" fontId="32" fillId="0" borderId="0" xfId="7" applyNumberFormat="1" applyFont="1" applyFill="1" applyBorder="1" applyAlignment="1">
      <alignment horizontal="left" vertical="center"/>
    </xf>
    <xf numFmtId="0" fontId="32" fillId="0" borderId="0" xfId="7" applyFont="1" applyFill="1" applyBorder="1" applyAlignment="1">
      <alignment horizontal="left" vertical="center"/>
    </xf>
    <xf numFmtId="0" fontId="32" fillId="0" borderId="0" xfId="7" applyFont="1" applyFill="1" applyBorder="1" applyAlignment="1">
      <alignment vertical="center"/>
    </xf>
    <xf numFmtId="0" fontId="32" fillId="0" borderId="0" xfId="7" applyFont="1" applyFill="1" applyBorder="1" applyAlignment="1">
      <alignment horizontal="right" vertical="center"/>
    </xf>
    <xf numFmtId="0" fontId="22" fillId="2" borderId="0" xfId="0" applyFont="1" applyFill="1"/>
    <xf numFmtId="0" fontId="27" fillId="0" borderId="0" xfId="7" applyFont="1" applyFill="1" applyBorder="1" applyAlignment="1">
      <alignment vertical="center"/>
    </xf>
    <xf numFmtId="0" fontId="22" fillId="2" borderId="0" xfId="0" applyFont="1" applyFill="1" applyAlignment="1">
      <alignment horizontal="center"/>
    </xf>
    <xf numFmtId="0" fontId="33" fillId="2" borderId="0" xfId="0" applyFont="1" applyFill="1"/>
    <xf numFmtId="0" fontId="19" fillId="0" borderId="0" xfId="0" applyFont="1"/>
    <xf numFmtId="0" fontId="6" fillId="2" borderId="0" xfId="5" applyFont="1" applyFill="1" applyBorder="1"/>
    <xf numFmtId="167" fontId="7" fillId="2" borderId="0" xfId="5" applyNumberFormat="1" applyFont="1" applyFill="1" applyBorder="1" applyAlignment="1">
      <alignment horizontal="left" vertical="center"/>
    </xf>
    <xf numFmtId="167" fontId="7" fillId="0" borderId="0" xfId="5" applyNumberFormat="1" applyFont="1" applyFill="1" applyBorder="1" applyAlignment="1">
      <alignment horizontal="left" vertical="center"/>
    </xf>
    <xf numFmtId="0" fontId="6" fillId="0" borderId="0" xfId="5" applyFont="1" applyFill="1" applyBorder="1"/>
    <xf numFmtId="0" fontId="10" fillId="0" borderId="0" xfId="5" applyFont="1" applyFill="1" applyBorder="1" applyAlignment="1">
      <alignment vertical="center"/>
    </xf>
    <xf numFmtId="165" fontId="7" fillId="9" borderId="23" xfId="5" applyNumberFormat="1" applyFont="1" applyFill="1" applyBorder="1" applyAlignment="1">
      <alignment horizontal="left" vertical="center"/>
    </xf>
    <xf numFmtId="165" fontId="6" fillId="9" borderId="24" xfId="6" applyNumberFormat="1" applyFont="1" applyFill="1" applyBorder="1" applyAlignment="1">
      <alignment horizontal="right" vertical="center"/>
    </xf>
    <xf numFmtId="165" fontId="7" fillId="10" borderId="23" xfId="5" applyNumberFormat="1" applyFont="1" applyFill="1" applyBorder="1" applyAlignment="1">
      <alignment horizontal="left" vertical="center"/>
    </xf>
    <xf numFmtId="165" fontId="7" fillId="10" borderId="48" xfId="5" applyNumberFormat="1" applyFont="1" applyFill="1" applyBorder="1" applyAlignment="1">
      <alignment horizontal="left" vertical="center"/>
    </xf>
    <xf numFmtId="165" fontId="10" fillId="10" borderId="21" xfId="5" applyNumberFormat="1" applyFont="1" applyFill="1" applyBorder="1" applyAlignment="1">
      <alignment horizontal="left" vertical="center"/>
    </xf>
    <xf numFmtId="165" fontId="10" fillId="10" borderId="24" xfId="5" applyNumberFormat="1" applyFont="1" applyFill="1" applyBorder="1" applyAlignment="1">
      <alignment horizontal="left" vertical="center"/>
    </xf>
    <xf numFmtId="165" fontId="27" fillId="11" borderId="56" xfId="1" applyNumberFormat="1" applyFont="1" applyFill="1" applyBorder="1" applyAlignment="1">
      <alignment horizontal="right" vertical="center"/>
    </xf>
    <xf numFmtId="165" fontId="6" fillId="10" borderId="24" xfId="6" applyNumberFormat="1" applyFont="1" applyFill="1" applyBorder="1" applyAlignment="1">
      <alignment horizontal="right" vertical="center"/>
    </xf>
    <xf numFmtId="165" fontId="27" fillId="10" borderId="24" xfId="1" applyNumberFormat="1" applyFont="1" applyFill="1" applyBorder="1" applyAlignment="1">
      <alignment horizontal="right" vertical="center"/>
    </xf>
    <xf numFmtId="165" fontId="7" fillId="10" borderId="15" xfId="5" applyNumberFormat="1" applyFont="1" applyFill="1" applyBorder="1" applyAlignment="1">
      <alignment horizontal="left" vertical="center"/>
    </xf>
    <xf numFmtId="165" fontId="27" fillId="10" borderId="12" xfId="1" applyNumberFormat="1" applyFont="1" applyFill="1" applyBorder="1" applyAlignment="1">
      <alignment horizontal="right" vertical="center"/>
    </xf>
    <xf numFmtId="165" fontId="7" fillId="10" borderId="29" xfId="5" applyNumberFormat="1" applyFont="1" applyFill="1" applyBorder="1" applyAlignment="1">
      <alignment horizontal="left" vertical="center"/>
    </xf>
    <xf numFmtId="165" fontId="5" fillId="11" borderId="23" xfId="6" applyNumberFormat="1" applyFont="1" applyFill="1" applyBorder="1" applyAlignment="1">
      <alignment horizontal="right" vertical="center"/>
    </xf>
    <xf numFmtId="165" fontId="27" fillId="11" borderId="24" xfId="1" applyNumberFormat="1" applyFont="1" applyFill="1" applyBorder="1" applyAlignment="1">
      <alignment horizontal="right" vertical="center"/>
    </xf>
    <xf numFmtId="165" fontId="5" fillId="12" borderId="61" xfId="6" applyNumberFormat="1" applyFont="1" applyFill="1" applyBorder="1" applyAlignment="1">
      <alignment horizontal="right" vertical="center"/>
    </xf>
    <xf numFmtId="165" fontId="25" fillId="12" borderId="62" xfId="1" applyNumberFormat="1" applyFont="1" applyFill="1" applyBorder="1" applyAlignment="1">
      <alignment horizontal="right" vertical="center"/>
    </xf>
    <xf numFmtId="0" fontId="7" fillId="2" borderId="0" xfId="5" applyFont="1" applyFill="1" applyBorder="1" applyAlignment="1">
      <alignment horizontal="center" vertical="center"/>
    </xf>
    <xf numFmtId="1" fontId="7" fillId="0" borderId="10" xfId="5" applyNumberFormat="1" applyFont="1" applyFill="1" applyBorder="1" applyAlignment="1">
      <alignment horizontal="center" vertical="center"/>
    </xf>
    <xf numFmtId="1" fontId="7" fillId="0" borderId="7" xfId="5" applyNumberFormat="1" applyFont="1" applyFill="1" applyBorder="1" applyAlignment="1">
      <alignment horizontal="center" vertical="center"/>
    </xf>
    <xf numFmtId="3" fontId="7" fillId="0" borderId="30" xfId="5" applyNumberFormat="1" applyFont="1" applyFill="1" applyBorder="1" applyAlignment="1">
      <alignment horizontal="center" vertical="center"/>
    </xf>
    <xf numFmtId="3" fontId="7" fillId="0" borderId="74" xfId="5" applyNumberFormat="1" applyFont="1" applyFill="1" applyBorder="1" applyAlignment="1">
      <alignment horizontal="left" vertical="center" wrapText="1"/>
    </xf>
    <xf numFmtId="0" fontId="10" fillId="0" borderId="0" xfId="5" applyFont="1" applyFill="1" applyBorder="1" applyAlignment="1">
      <alignment horizontal="center" vertical="center"/>
    </xf>
    <xf numFmtId="165" fontId="6" fillId="11" borderId="25" xfId="6" applyNumberFormat="1" applyFont="1" applyFill="1" applyBorder="1" applyAlignment="1">
      <alignment horizontal="center"/>
    </xf>
    <xf numFmtId="165" fontId="6" fillId="11" borderId="26" xfId="6" applyNumberFormat="1" applyFont="1" applyFill="1" applyBorder="1" applyAlignment="1">
      <alignment horizontal="center"/>
    </xf>
    <xf numFmtId="0" fontId="5" fillId="11" borderId="23" xfId="6" applyNumberFormat="1" applyFont="1" applyFill="1" applyBorder="1" applyAlignment="1">
      <alignment horizontal="center"/>
    </xf>
    <xf numFmtId="0" fontId="5" fillId="11" borderId="24" xfId="6" applyNumberFormat="1" applyFont="1" applyFill="1" applyBorder="1" applyAlignment="1">
      <alignment horizontal="center"/>
    </xf>
    <xf numFmtId="165" fontId="5" fillId="11" borderId="60" xfId="6" applyNumberFormat="1" applyFont="1" applyFill="1" applyBorder="1" applyAlignment="1">
      <alignment horizontal="right" vertical="center"/>
    </xf>
    <xf numFmtId="165" fontId="26" fillId="11" borderId="57" xfId="1" applyNumberFormat="1" applyFont="1" applyFill="1" applyBorder="1" applyAlignment="1">
      <alignment horizontal="right" vertical="center"/>
    </xf>
    <xf numFmtId="165" fontId="26" fillId="11" borderId="26" xfId="1" applyNumberFormat="1" applyFont="1" applyFill="1" applyBorder="1" applyAlignment="1">
      <alignment horizontal="right" vertical="center"/>
    </xf>
    <xf numFmtId="165" fontId="6" fillId="11" borderId="14" xfId="6" applyNumberFormat="1" applyFont="1" applyFill="1" applyBorder="1" applyAlignment="1">
      <alignment horizontal="right" vertical="center"/>
    </xf>
    <xf numFmtId="165" fontId="26" fillId="11" borderId="19" xfId="1" applyNumberFormat="1" applyFont="1" applyFill="1" applyBorder="1" applyAlignment="1">
      <alignment horizontal="right" vertical="center"/>
    </xf>
    <xf numFmtId="165" fontId="6" fillId="11" borderId="31" xfId="6" applyNumberFormat="1" applyFont="1" applyFill="1" applyBorder="1" applyAlignment="1">
      <alignment horizontal="right" vertical="center"/>
    </xf>
    <xf numFmtId="165" fontId="27" fillId="11" borderId="12" xfId="1" applyNumberFormat="1" applyFont="1" applyFill="1" applyBorder="1" applyAlignment="1">
      <alignment horizontal="right" vertical="center"/>
    </xf>
    <xf numFmtId="165" fontId="6" fillId="11" borderId="35" xfId="6" applyNumberFormat="1" applyFont="1" applyFill="1" applyBorder="1" applyAlignment="1">
      <alignment horizontal="right" vertical="center"/>
    </xf>
    <xf numFmtId="165" fontId="27" fillId="11" borderId="17" xfId="1" applyNumberFormat="1" applyFont="1" applyFill="1" applyBorder="1" applyAlignment="1">
      <alignment horizontal="right" vertical="center"/>
    </xf>
    <xf numFmtId="165" fontId="6" fillId="11" borderId="52" xfId="6" applyNumberFormat="1" applyFont="1" applyFill="1" applyBorder="1" applyAlignment="1">
      <alignment horizontal="right" vertical="center"/>
    </xf>
    <xf numFmtId="165" fontId="27" fillId="11" borderId="21" xfId="1" applyNumberFormat="1" applyFont="1" applyFill="1" applyBorder="1" applyAlignment="1">
      <alignment horizontal="right" vertical="center"/>
    </xf>
    <xf numFmtId="165" fontId="5" fillId="11" borderId="14" xfId="6" applyNumberFormat="1" applyFont="1" applyFill="1" applyBorder="1" applyAlignment="1">
      <alignment horizontal="right" vertical="center"/>
    </xf>
    <xf numFmtId="165" fontId="26" fillId="11" borderId="24" xfId="1" applyNumberFormat="1" applyFont="1" applyFill="1" applyBorder="1" applyAlignment="1">
      <alignment horizontal="right" vertical="center"/>
    </xf>
    <xf numFmtId="165" fontId="5" fillId="11" borderId="73" xfId="6" applyNumberFormat="1" applyFont="1" applyFill="1" applyBorder="1" applyAlignment="1">
      <alignment horizontal="right" vertical="center"/>
    </xf>
    <xf numFmtId="165" fontId="6" fillId="12" borderId="25" xfId="6" applyNumberFormat="1" applyFont="1" applyFill="1" applyBorder="1" applyAlignment="1">
      <alignment horizontal="center"/>
    </xf>
    <xf numFmtId="0" fontId="5" fillId="12" borderId="23" xfId="6" applyNumberFormat="1" applyFont="1" applyFill="1" applyBorder="1" applyAlignment="1">
      <alignment horizontal="center"/>
    </xf>
    <xf numFmtId="165" fontId="27" fillId="12" borderId="56" xfId="1" applyNumberFormat="1" applyFont="1" applyFill="1" applyBorder="1" applyAlignment="1">
      <alignment horizontal="right" vertical="center"/>
    </xf>
    <xf numFmtId="165" fontId="27" fillId="12" borderId="24" xfId="1" applyNumberFormat="1" applyFont="1" applyFill="1" applyBorder="1" applyAlignment="1">
      <alignment horizontal="right" vertical="center"/>
    </xf>
    <xf numFmtId="165" fontId="26" fillId="12" borderId="24" xfId="1" applyNumberFormat="1" applyFont="1" applyFill="1" applyBorder="1" applyAlignment="1">
      <alignment horizontal="right" vertical="center"/>
    </xf>
    <xf numFmtId="165" fontId="5" fillId="12" borderId="15" xfId="6" applyNumberFormat="1" applyFont="1" applyFill="1" applyBorder="1" applyAlignment="1">
      <alignment horizontal="right" vertical="center"/>
    </xf>
    <xf numFmtId="165" fontId="27" fillId="9" borderId="12" xfId="1" applyNumberFormat="1" applyFont="1" applyFill="1" applyBorder="1" applyAlignment="1">
      <alignment horizontal="right" vertical="center"/>
    </xf>
    <xf numFmtId="165" fontId="27" fillId="9" borderId="24" xfId="1" applyNumberFormat="1" applyFont="1" applyFill="1" applyBorder="1" applyAlignment="1">
      <alignment horizontal="right" vertical="center"/>
    </xf>
    <xf numFmtId="0" fontId="5" fillId="8" borderId="23" xfId="6" applyNumberFormat="1" applyFont="1" applyFill="1" applyBorder="1" applyAlignment="1">
      <alignment horizontal="center"/>
    </xf>
    <xf numFmtId="0" fontId="5" fillId="8" borderId="24" xfId="6" applyNumberFormat="1" applyFont="1" applyFill="1" applyBorder="1" applyAlignment="1">
      <alignment horizontal="center"/>
    </xf>
    <xf numFmtId="165" fontId="27" fillId="8" borderId="12" xfId="1" applyNumberFormat="1" applyFont="1" applyFill="1" applyBorder="1" applyAlignment="1">
      <alignment horizontal="right" vertical="center"/>
    </xf>
    <xf numFmtId="165" fontId="27" fillId="8" borderId="17" xfId="1" applyNumberFormat="1" applyFont="1" applyFill="1" applyBorder="1" applyAlignment="1">
      <alignment horizontal="right" vertical="center"/>
    </xf>
    <xf numFmtId="165" fontId="27" fillId="8" borderId="21" xfId="1" applyNumberFormat="1" applyFont="1" applyFill="1" applyBorder="1" applyAlignment="1">
      <alignment horizontal="right" vertical="center"/>
    </xf>
    <xf numFmtId="165" fontId="27" fillId="8" borderId="24" xfId="1" applyNumberFormat="1" applyFont="1" applyFill="1" applyBorder="1" applyAlignment="1">
      <alignment horizontal="right" vertical="center"/>
    </xf>
    <xf numFmtId="165" fontId="5" fillId="11" borderId="61" xfId="6" applyNumberFormat="1" applyFont="1" applyFill="1" applyBorder="1" applyAlignment="1">
      <alignment horizontal="right" vertical="center"/>
    </xf>
    <xf numFmtId="165" fontId="5" fillId="11" borderId="29" xfId="6" applyNumberFormat="1" applyFont="1" applyFill="1" applyBorder="1" applyAlignment="1">
      <alignment horizontal="right" vertical="center"/>
    </xf>
    <xf numFmtId="165" fontId="6" fillId="12" borderId="54" xfId="6" applyNumberFormat="1" applyFont="1" applyFill="1" applyBorder="1" applyAlignment="1">
      <alignment horizontal="center"/>
    </xf>
    <xf numFmtId="0" fontId="5" fillId="12" borderId="56" xfId="6" applyNumberFormat="1" applyFont="1" applyFill="1" applyBorder="1" applyAlignment="1">
      <alignment horizontal="center"/>
    </xf>
    <xf numFmtId="165" fontId="5" fillId="12" borderId="22" xfId="6" applyNumberFormat="1" applyFont="1" applyFill="1" applyBorder="1" applyAlignment="1">
      <alignment horizontal="right" vertical="center"/>
    </xf>
    <xf numFmtId="165" fontId="5" fillId="12" borderId="59" xfId="6" applyNumberFormat="1" applyFont="1" applyFill="1" applyBorder="1" applyAlignment="1">
      <alignment horizontal="right" vertical="center"/>
    </xf>
    <xf numFmtId="165" fontId="5" fillId="12" borderId="62" xfId="6" applyNumberFormat="1" applyFont="1" applyFill="1" applyBorder="1" applyAlignment="1">
      <alignment horizontal="right" vertical="center"/>
    </xf>
    <xf numFmtId="165" fontId="5" fillId="12" borderId="23" xfId="6" applyNumberFormat="1" applyFont="1" applyFill="1" applyBorder="1" applyAlignment="1">
      <alignment horizontal="right" vertical="center"/>
    </xf>
    <xf numFmtId="165" fontId="5" fillId="12" borderId="29" xfId="6" applyNumberFormat="1" applyFont="1" applyFill="1" applyBorder="1" applyAlignment="1">
      <alignment horizontal="right" vertical="center"/>
    </xf>
    <xf numFmtId="165" fontId="6" fillId="12" borderId="67" xfId="6" applyNumberFormat="1" applyFont="1" applyFill="1" applyBorder="1" applyAlignment="1">
      <alignment horizontal="right" vertical="center"/>
    </xf>
    <xf numFmtId="165" fontId="6" fillId="12" borderId="50" xfId="6" applyNumberFormat="1" applyFont="1" applyFill="1" applyBorder="1" applyAlignment="1">
      <alignment horizontal="right" vertical="center"/>
    </xf>
    <xf numFmtId="165" fontId="5" fillId="12" borderId="27" xfId="6" applyNumberFormat="1" applyFont="1" applyFill="1" applyBorder="1" applyAlignment="1">
      <alignment horizontal="right" vertical="center"/>
    </xf>
    <xf numFmtId="165" fontId="6" fillId="12" borderId="75" xfId="6" applyNumberFormat="1" applyFont="1" applyFill="1" applyBorder="1" applyAlignment="1">
      <alignment horizontal="right" vertical="center"/>
    </xf>
    <xf numFmtId="169" fontId="5" fillId="12" borderId="22" xfId="6" applyNumberFormat="1" applyFont="1" applyFill="1" applyBorder="1" applyAlignment="1">
      <alignment horizontal="right" vertical="center"/>
    </xf>
    <xf numFmtId="165" fontId="26" fillId="12" borderId="56" xfId="1" applyNumberFormat="1" applyFont="1" applyFill="1" applyBorder="1" applyAlignment="1">
      <alignment horizontal="right" vertical="center"/>
    </xf>
    <xf numFmtId="165" fontId="7" fillId="7" borderId="61" xfId="5" applyNumberFormat="1" applyFont="1" applyFill="1" applyBorder="1" applyAlignment="1">
      <alignment horizontal="left" vertical="center"/>
    </xf>
    <xf numFmtId="0" fontId="5" fillId="13" borderId="24" xfId="6" applyNumberFormat="1" applyFont="1" applyFill="1" applyBorder="1" applyAlignment="1">
      <alignment horizontal="center"/>
    </xf>
    <xf numFmtId="165" fontId="6" fillId="14" borderId="26" xfId="6" applyNumberFormat="1" applyFont="1" applyFill="1" applyBorder="1" applyAlignment="1">
      <alignment horizontal="center"/>
    </xf>
    <xf numFmtId="0" fontId="5" fillId="14" borderId="24" xfId="6" applyNumberFormat="1" applyFont="1" applyFill="1" applyBorder="1" applyAlignment="1">
      <alignment horizontal="center"/>
    </xf>
    <xf numFmtId="165" fontId="5" fillId="14" borderId="19" xfId="6" applyNumberFormat="1" applyFont="1" applyFill="1" applyBorder="1" applyAlignment="1">
      <alignment horizontal="right" vertical="center"/>
    </xf>
    <xf numFmtId="165" fontId="6" fillId="14" borderId="24" xfId="6" applyNumberFormat="1" applyFont="1" applyFill="1" applyBorder="1" applyAlignment="1">
      <alignment horizontal="right" vertical="center"/>
    </xf>
    <xf numFmtId="0" fontId="7" fillId="13" borderId="25" xfId="5" applyFont="1" applyFill="1" applyBorder="1" applyAlignment="1">
      <alignment horizontal="center" vertical="center"/>
    </xf>
    <xf numFmtId="0" fontId="7" fillId="13" borderId="54" xfId="5" applyFont="1" applyFill="1" applyBorder="1" applyAlignment="1">
      <alignment horizontal="center" vertical="center"/>
    </xf>
    <xf numFmtId="0" fontId="5" fillId="13" borderId="23" xfId="6" applyNumberFormat="1" applyFont="1" applyFill="1" applyBorder="1" applyAlignment="1">
      <alignment horizontal="center"/>
    </xf>
    <xf numFmtId="165" fontId="7" fillId="13" borderId="4" xfId="5" applyNumberFormat="1" applyFont="1" applyFill="1" applyBorder="1" applyAlignment="1">
      <alignment horizontal="left" vertical="center"/>
    </xf>
    <xf numFmtId="165" fontId="7" fillId="13" borderId="59" xfId="5" applyNumberFormat="1" applyFont="1" applyFill="1" applyBorder="1" applyAlignment="1">
      <alignment horizontal="left" vertical="center"/>
    </xf>
    <xf numFmtId="165" fontId="7" fillId="13" borderId="3" xfId="5" applyNumberFormat="1" applyFont="1" applyFill="1" applyBorder="1" applyAlignment="1">
      <alignment horizontal="left" vertical="center"/>
    </xf>
    <xf numFmtId="165" fontId="7" fillId="13" borderId="54" xfId="5" applyNumberFormat="1" applyFont="1" applyFill="1" applyBorder="1" applyAlignment="1">
      <alignment horizontal="left" vertical="center"/>
    </xf>
    <xf numFmtId="165" fontId="7" fillId="13" borderId="6" xfId="5" applyNumberFormat="1" applyFont="1" applyFill="1" applyBorder="1" applyAlignment="1">
      <alignment horizontal="left" vertical="center"/>
    </xf>
    <xf numFmtId="165" fontId="27" fillId="13" borderId="56" xfId="1" applyNumberFormat="1" applyFont="1" applyFill="1" applyBorder="1" applyAlignment="1">
      <alignment horizontal="right" vertical="center"/>
    </xf>
    <xf numFmtId="165" fontId="7" fillId="13" borderId="1" xfId="5" applyNumberFormat="1" applyFont="1" applyFill="1" applyBorder="1" applyAlignment="1">
      <alignment horizontal="left" vertical="center"/>
    </xf>
    <xf numFmtId="165" fontId="7" fillId="13" borderId="13" xfId="5" applyNumberFormat="1" applyFont="1" applyFill="1" applyBorder="1" applyAlignment="1">
      <alignment horizontal="left" vertical="center"/>
    </xf>
    <xf numFmtId="165" fontId="7" fillId="13" borderId="16" xfId="5" applyNumberFormat="1" applyFont="1" applyFill="1" applyBorder="1" applyAlignment="1">
      <alignment horizontal="left" vertical="center"/>
    </xf>
    <xf numFmtId="165" fontId="7" fillId="13" borderId="50" xfId="5" applyNumberFormat="1" applyFont="1" applyFill="1" applyBorder="1" applyAlignment="1">
      <alignment horizontal="left" vertical="center"/>
    </xf>
    <xf numFmtId="165" fontId="7" fillId="13" borderId="20" xfId="5" applyNumberFormat="1" applyFont="1" applyFill="1" applyBorder="1" applyAlignment="1">
      <alignment horizontal="left" vertical="center"/>
    </xf>
    <xf numFmtId="165" fontId="7" fillId="13" borderId="51" xfId="5" applyNumberFormat="1" applyFont="1" applyFill="1" applyBorder="1" applyAlignment="1">
      <alignment horizontal="left" vertical="center"/>
    </xf>
    <xf numFmtId="165" fontId="27" fillId="13" borderId="50" xfId="1" applyNumberFormat="1" applyFont="1" applyFill="1" applyBorder="1" applyAlignment="1">
      <alignment horizontal="right" vertical="center"/>
    </xf>
    <xf numFmtId="165" fontId="27" fillId="13" borderId="51" xfId="1" applyNumberFormat="1" applyFont="1" applyFill="1" applyBorder="1" applyAlignment="1">
      <alignment horizontal="right" vertical="center"/>
    </xf>
    <xf numFmtId="165" fontId="7" fillId="13" borderId="77" xfId="5" applyNumberFormat="1" applyFont="1" applyFill="1" applyBorder="1" applyAlignment="1">
      <alignment horizontal="left" vertical="center"/>
    </xf>
    <xf numFmtId="165" fontId="7" fillId="13" borderId="62" xfId="5" applyNumberFormat="1" applyFont="1" applyFill="1" applyBorder="1" applyAlignment="1">
      <alignment horizontal="left" vertical="center"/>
    </xf>
    <xf numFmtId="0" fontId="7" fillId="8" borderId="48" xfId="5" applyFont="1" applyFill="1" applyBorder="1" applyAlignment="1">
      <alignment horizontal="center" vertical="center"/>
    </xf>
    <xf numFmtId="0" fontId="7" fillId="8" borderId="21" xfId="5" applyFont="1" applyFill="1" applyBorder="1" applyAlignment="1">
      <alignment horizontal="center" vertical="center"/>
    </xf>
    <xf numFmtId="165" fontId="7" fillId="8" borderId="23" xfId="5" applyNumberFormat="1" applyFont="1" applyFill="1" applyBorder="1" applyAlignment="1">
      <alignment horizontal="left" vertical="center"/>
    </xf>
    <xf numFmtId="165" fontId="35" fillId="8" borderId="24" xfId="1" applyNumberFormat="1" applyFont="1" applyFill="1" applyBorder="1" applyAlignment="1">
      <alignment horizontal="right" vertical="center"/>
    </xf>
    <xf numFmtId="165" fontId="25" fillId="8" borderId="68" xfId="1" applyNumberFormat="1" applyFont="1" applyFill="1" applyBorder="1" applyAlignment="1">
      <alignment horizontal="right" vertical="center"/>
    </xf>
    <xf numFmtId="0" fontId="7" fillId="15" borderId="25" xfId="5" applyFont="1" applyFill="1" applyBorder="1" applyAlignment="1">
      <alignment horizontal="center" vertical="center"/>
    </xf>
    <xf numFmtId="0" fontId="7" fillId="15" borderId="54" xfId="5" applyFont="1" applyFill="1" applyBorder="1" applyAlignment="1">
      <alignment horizontal="center" vertical="center"/>
    </xf>
    <xf numFmtId="0" fontId="5" fillId="15" borderId="29" xfId="6" applyNumberFormat="1" applyFont="1" applyFill="1" applyBorder="1" applyAlignment="1">
      <alignment horizontal="center"/>
    </xf>
    <xf numFmtId="0" fontId="5" fillId="15" borderId="67" xfId="6" applyNumberFormat="1" applyFont="1" applyFill="1" applyBorder="1" applyAlignment="1">
      <alignment horizontal="center"/>
    </xf>
    <xf numFmtId="165" fontId="7" fillId="15" borderId="15" xfId="5" applyNumberFormat="1" applyFont="1" applyFill="1" applyBorder="1" applyAlignment="1">
      <alignment horizontal="left" vertical="center"/>
    </xf>
    <xf numFmtId="165" fontId="7" fillId="15" borderId="50" xfId="5" applyNumberFormat="1" applyFont="1" applyFill="1" applyBorder="1" applyAlignment="1">
      <alignment horizontal="left" vertical="center"/>
    </xf>
    <xf numFmtId="165" fontId="7" fillId="15" borderId="48" xfId="5" applyNumberFormat="1" applyFont="1" applyFill="1" applyBorder="1" applyAlignment="1">
      <alignment horizontal="left" vertical="center"/>
    </xf>
    <xf numFmtId="165" fontId="7" fillId="15" borderId="51" xfId="5" applyNumberFormat="1" applyFont="1" applyFill="1" applyBorder="1" applyAlignment="1">
      <alignment horizontal="left" vertical="center"/>
    </xf>
    <xf numFmtId="165" fontId="7" fillId="15" borderId="61" xfId="5" applyNumberFormat="1" applyFont="1" applyFill="1" applyBorder="1" applyAlignment="1">
      <alignment horizontal="left" vertical="center"/>
    </xf>
    <xf numFmtId="165" fontId="27" fillId="15" borderId="0" xfId="1" applyNumberFormat="1" applyFont="1" applyFill="1" applyBorder="1" applyAlignment="1">
      <alignment horizontal="right" vertical="center"/>
    </xf>
    <xf numFmtId="165" fontId="7" fillId="15" borderId="18" xfId="5" applyNumberFormat="1" applyFont="1" applyFill="1" applyBorder="1" applyAlignment="1">
      <alignment horizontal="left" vertical="center"/>
    </xf>
    <xf numFmtId="165" fontId="7" fillId="15" borderId="13" xfId="5" applyNumberFormat="1" applyFont="1" applyFill="1" applyBorder="1" applyAlignment="1">
      <alignment horizontal="left" vertical="center"/>
    </xf>
    <xf numFmtId="165" fontId="6" fillId="15" borderId="0" xfId="6" applyNumberFormat="1" applyFont="1" applyFill="1" applyBorder="1" applyAlignment="1">
      <alignment horizontal="right" vertical="center"/>
    </xf>
    <xf numFmtId="165" fontId="7" fillId="15" borderId="15" xfId="5" applyNumberFormat="1" applyFont="1" applyFill="1" applyBorder="1" applyAlignment="1">
      <alignment vertical="center"/>
    </xf>
    <xf numFmtId="165" fontId="7" fillId="15" borderId="50" xfId="5" applyNumberFormat="1" applyFont="1" applyFill="1" applyBorder="1" applyAlignment="1">
      <alignment vertical="center"/>
    </xf>
    <xf numFmtId="165" fontId="7" fillId="15" borderId="18" xfId="5" applyNumberFormat="1" applyFont="1" applyFill="1" applyBorder="1" applyAlignment="1">
      <alignment vertical="center"/>
    </xf>
    <xf numFmtId="165" fontId="7" fillId="15" borderId="13" xfId="5" applyNumberFormat="1" applyFont="1" applyFill="1" applyBorder="1" applyAlignment="1">
      <alignment vertical="center"/>
    </xf>
    <xf numFmtId="165" fontId="7" fillId="15" borderId="48" xfId="5" applyNumberFormat="1" applyFont="1" applyFill="1" applyBorder="1" applyAlignment="1">
      <alignment vertical="center"/>
    </xf>
    <xf numFmtId="165" fontId="7" fillId="15" borderId="51" xfId="5" applyNumberFormat="1" applyFont="1" applyFill="1" applyBorder="1" applyAlignment="1">
      <alignment vertical="center"/>
    </xf>
    <xf numFmtId="165" fontId="7" fillId="15" borderId="22" xfId="5" applyNumberFormat="1" applyFont="1" applyFill="1" applyBorder="1" applyAlignment="1">
      <alignment horizontal="left" vertical="center"/>
    </xf>
    <xf numFmtId="165" fontId="7" fillId="15" borderId="59" xfId="5" applyNumberFormat="1" applyFont="1" applyFill="1" applyBorder="1" applyAlignment="1">
      <alignment horizontal="left" vertical="center"/>
    </xf>
    <xf numFmtId="165" fontId="7" fillId="15" borderId="25" xfId="5" applyNumberFormat="1" applyFont="1" applyFill="1" applyBorder="1" applyAlignment="1">
      <alignment horizontal="left" vertical="center"/>
    </xf>
    <xf numFmtId="165" fontId="11" fillId="15" borderId="15" xfId="5" applyNumberFormat="1" applyFont="1" applyFill="1" applyBorder="1" applyAlignment="1">
      <alignment horizontal="left" vertical="center"/>
    </xf>
    <xf numFmtId="165" fontId="6" fillId="15" borderId="50" xfId="6" applyNumberFormat="1" applyFont="1" applyFill="1" applyBorder="1" applyAlignment="1">
      <alignment horizontal="right" vertical="center"/>
    </xf>
    <xf numFmtId="165" fontId="6" fillId="15" borderId="51" xfId="6" applyNumberFormat="1" applyFont="1" applyFill="1" applyBorder="1" applyAlignment="1">
      <alignment horizontal="right" vertical="center"/>
    </xf>
    <xf numFmtId="165" fontId="7" fillId="15" borderId="73" xfId="5" applyNumberFormat="1" applyFont="1" applyFill="1" applyBorder="1" applyAlignment="1">
      <alignment horizontal="left" vertical="center"/>
    </xf>
    <xf numFmtId="165" fontId="7" fillId="15" borderId="23" xfId="5" applyNumberFormat="1" applyFont="1" applyFill="1" applyBorder="1" applyAlignment="1">
      <alignment horizontal="left" vertical="center"/>
    </xf>
    <xf numFmtId="165" fontId="27" fillId="15" borderId="56" xfId="1" applyNumberFormat="1" applyFont="1" applyFill="1" applyBorder="1" applyAlignment="1">
      <alignment horizontal="right" vertical="center"/>
    </xf>
    <xf numFmtId="165" fontId="27" fillId="15" borderId="54" xfId="1" applyNumberFormat="1" applyFont="1" applyFill="1" applyBorder="1" applyAlignment="1">
      <alignment horizontal="right" vertical="center"/>
    </xf>
    <xf numFmtId="165" fontId="7" fillId="15" borderId="54" xfId="5" applyNumberFormat="1" applyFont="1" applyFill="1" applyBorder="1" applyAlignment="1">
      <alignment horizontal="left" vertical="center"/>
    </xf>
    <xf numFmtId="165" fontId="26" fillId="15" borderId="56" xfId="1" applyNumberFormat="1" applyFont="1" applyFill="1" applyBorder="1" applyAlignment="1">
      <alignment horizontal="right" vertical="center"/>
    </xf>
    <xf numFmtId="165" fontId="7" fillId="15" borderId="62" xfId="5" applyNumberFormat="1" applyFont="1" applyFill="1" applyBorder="1" applyAlignment="1">
      <alignment horizontal="left" vertical="center"/>
    </xf>
    <xf numFmtId="165" fontId="7" fillId="9" borderId="15" xfId="5" applyNumberFormat="1" applyFont="1" applyFill="1" applyBorder="1" applyAlignment="1">
      <alignment horizontal="left" vertical="center"/>
    </xf>
    <xf numFmtId="165" fontId="7" fillId="9" borderId="48" xfId="5" applyNumberFormat="1" applyFont="1" applyFill="1" applyBorder="1" applyAlignment="1">
      <alignment horizontal="left" vertical="center"/>
    </xf>
    <xf numFmtId="165" fontId="7" fillId="9" borderId="61" xfId="5" applyNumberFormat="1" applyFont="1" applyFill="1" applyBorder="1" applyAlignment="1">
      <alignment horizontal="left" vertical="center"/>
    </xf>
    <xf numFmtId="165" fontId="7" fillId="9" borderId="18" xfId="5" applyNumberFormat="1" applyFont="1" applyFill="1" applyBorder="1" applyAlignment="1">
      <alignment horizontal="left" vertical="center"/>
    </xf>
    <xf numFmtId="165" fontId="7" fillId="9" borderId="22" xfId="5" applyNumberFormat="1" applyFont="1" applyFill="1" applyBorder="1" applyAlignment="1">
      <alignment horizontal="left" vertical="center"/>
    </xf>
    <xf numFmtId="165" fontId="7" fillId="9" borderId="25" xfId="5" applyNumberFormat="1" applyFont="1" applyFill="1" applyBorder="1" applyAlignment="1">
      <alignment horizontal="left" vertical="center"/>
    </xf>
    <xf numFmtId="0" fontId="10" fillId="9" borderId="23" xfId="5" applyFont="1" applyFill="1" applyBorder="1" applyAlignment="1">
      <alignment horizontal="center" vertical="center"/>
    </xf>
    <xf numFmtId="0" fontId="10" fillId="9" borderId="24" xfId="5" applyFont="1" applyFill="1" applyBorder="1" applyAlignment="1">
      <alignment horizontal="center" vertical="center"/>
    </xf>
    <xf numFmtId="0" fontId="5" fillId="9" borderId="61" xfId="6" applyNumberFormat="1" applyFont="1" applyFill="1" applyBorder="1" applyAlignment="1">
      <alignment horizontal="center"/>
    </xf>
    <xf numFmtId="0" fontId="5" fillId="9" borderId="62" xfId="6" applyNumberFormat="1" applyFont="1" applyFill="1" applyBorder="1" applyAlignment="1">
      <alignment horizontal="center"/>
    </xf>
    <xf numFmtId="165" fontId="7" fillId="9" borderId="17" xfId="5" applyNumberFormat="1" applyFont="1" applyFill="1" applyBorder="1" applyAlignment="1">
      <alignment horizontal="left" vertical="center"/>
    </xf>
    <xf numFmtId="165" fontId="7" fillId="9" borderId="26" xfId="5" applyNumberFormat="1" applyFont="1" applyFill="1" applyBorder="1" applyAlignment="1">
      <alignment horizontal="left" vertical="center"/>
    </xf>
    <xf numFmtId="165" fontId="7" fillId="9" borderId="24" xfId="5" applyNumberFormat="1" applyFont="1" applyFill="1" applyBorder="1" applyAlignment="1">
      <alignment horizontal="left" vertical="center"/>
    </xf>
    <xf numFmtId="165" fontId="7" fillId="9" borderId="57" xfId="5" applyNumberFormat="1" applyFont="1" applyFill="1" applyBorder="1" applyAlignment="1">
      <alignment horizontal="left" vertical="center"/>
    </xf>
    <xf numFmtId="165" fontId="7" fillId="9" borderId="19" xfId="5" applyNumberFormat="1" applyFont="1" applyFill="1" applyBorder="1" applyAlignment="1">
      <alignment horizontal="left" vertical="center"/>
    </xf>
    <xf numFmtId="165" fontId="10" fillId="9" borderId="17" xfId="5" applyNumberFormat="1" applyFont="1" applyFill="1" applyBorder="1" applyAlignment="1">
      <alignment horizontal="left" vertical="center"/>
    </xf>
    <xf numFmtId="165" fontId="10" fillId="9" borderId="21" xfId="5" applyNumberFormat="1" applyFont="1" applyFill="1" applyBorder="1" applyAlignment="1">
      <alignment horizontal="left" vertical="center"/>
    </xf>
    <xf numFmtId="165" fontId="10" fillId="9" borderId="24" xfId="5" applyNumberFormat="1" applyFont="1" applyFill="1" applyBorder="1" applyAlignment="1">
      <alignment horizontal="left" vertical="center"/>
    </xf>
    <xf numFmtId="165" fontId="7" fillId="9" borderId="68" xfId="5" applyNumberFormat="1" applyFont="1" applyFill="1" applyBorder="1" applyAlignment="1">
      <alignment horizontal="left" vertical="center"/>
    </xf>
    <xf numFmtId="165" fontId="10" fillId="9" borderId="23" xfId="5" applyNumberFormat="1" applyFont="1" applyFill="1" applyBorder="1" applyAlignment="1">
      <alignment horizontal="left" vertical="center"/>
    </xf>
    <xf numFmtId="165" fontId="10" fillId="9" borderId="61" xfId="5" applyNumberFormat="1" applyFont="1" applyFill="1" applyBorder="1" applyAlignment="1">
      <alignment horizontal="left" vertical="center"/>
    </xf>
    <xf numFmtId="165" fontId="10" fillId="9" borderId="68" xfId="1" applyNumberFormat="1" applyFont="1" applyFill="1" applyBorder="1" applyAlignment="1">
      <alignment horizontal="right" vertical="center"/>
    </xf>
    <xf numFmtId="0" fontId="10" fillId="10" borderId="43" xfId="5" applyFont="1" applyFill="1" applyBorder="1" applyAlignment="1">
      <alignment horizontal="center" vertical="center"/>
    </xf>
    <xf numFmtId="0" fontId="10" fillId="10" borderId="24" xfId="5" applyFont="1" applyFill="1" applyBorder="1" applyAlignment="1">
      <alignment horizontal="center" vertical="center"/>
    </xf>
    <xf numFmtId="0" fontId="5" fillId="10" borderId="61" xfId="6" applyNumberFormat="1" applyFont="1" applyFill="1" applyBorder="1" applyAlignment="1">
      <alignment horizontal="center"/>
    </xf>
    <xf numFmtId="0" fontId="5" fillId="10" borderId="68" xfId="6" applyNumberFormat="1" applyFont="1" applyFill="1" applyBorder="1" applyAlignment="1">
      <alignment horizontal="center"/>
    </xf>
    <xf numFmtId="165" fontId="7" fillId="10" borderId="17" xfId="5" applyNumberFormat="1" applyFont="1" applyFill="1" applyBorder="1" applyAlignment="1">
      <alignment horizontal="left" vertical="center"/>
    </xf>
    <xf numFmtId="165" fontId="7" fillId="10" borderId="25" xfId="5" applyNumberFormat="1" applyFont="1" applyFill="1" applyBorder="1" applyAlignment="1">
      <alignment horizontal="left" vertical="center"/>
    </xf>
    <xf numFmtId="165" fontId="7" fillId="10" borderId="26" xfId="5" applyNumberFormat="1" applyFont="1" applyFill="1" applyBorder="1" applyAlignment="1">
      <alignment horizontal="left" vertical="center"/>
    </xf>
    <xf numFmtId="165" fontId="7" fillId="10" borderId="24" xfId="5" applyNumberFormat="1" applyFont="1" applyFill="1" applyBorder="1" applyAlignment="1">
      <alignment horizontal="left" vertical="center"/>
    </xf>
    <xf numFmtId="165" fontId="7" fillId="10" borderId="22" xfId="5" applyNumberFormat="1" applyFont="1" applyFill="1" applyBorder="1" applyAlignment="1">
      <alignment horizontal="left" vertical="center"/>
    </xf>
    <xf numFmtId="165" fontId="7" fillId="10" borderId="57" xfId="5" applyNumberFormat="1" applyFont="1" applyFill="1" applyBorder="1" applyAlignment="1">
      <alignment horizontal="left" vertical="center"/>
    </xf>
    <xf numFmtId="165" fontId="7" fillId="10" borderId="18" xfId="5" applyNumberFormat="1" applyFont="1" applyFill="1" applyBorder="1" applyAlignment="1">
      <alignment horizontal="left" vertical="center"/>
    </xf>
    <xf numFmtId="165" fontId="7" fillId="10" borderId="19" xfId="5" applyNumberFormat="1" applyFont="1" applyFill="1" applyBorder="1" applyAlignment="1">
      <alignment horizontal="left" vertical="center"/>
    </xf>
    <xf numFmtId="165" fontId="7" fillId="10" borderId="21" xfId="5" applyNumberFormat="1" applyFont="1" applyFill="1" applyBorder="1" applyAlignment="1">
      <alignment horizontal="left" vertical="center"/>
    </xf>
    <xf numFmtId="165" fontId="10" fillId="10" borderId="17" xfId="5" applyNumberFormat="1" applyFont="1" applyFill="1" applyBorder="1" applyAlignment="1">
      <alignment horizontal="left" vertical="center"/>
    </xf>
    <xf numFmtId="165" fontId="7" fillId="10" borderId="61" xfId="5" applyNumberFormat="1" applyFont="1" applyFill="1" applyBorder="1" applyAlignment="1">
      <alignment horizontal="left" vertical="center"/>
    </xf>
    <xf numFmtId="165" fontId="7" fillId="10" borderId="68" xfId="5" applyNumberFormat="1" applyFont="1" applyFill="1" applyBorder="1" applyAlignment="1">
      <alignment horizontal="left" vertical="center"/>
    </xf>
    <xf numFmtId="165" fontId="10" fillId="10" borderId="68" xfId="1" applyNumberFormat="1" applyFont="1" applyFill="1" applyBorder="1" applyAlignment="1">
      <alignment horizontal="right" vertical="center"/>
    </xf>
    <xf numFmtId="165" fontId="6" fillId="14" borderId="25" xfId="6" applyNumberFormat="1" applyFont="1" applyFill="1" applyBorder="1" applyAlignment="1">
      <alignment horizontal="center"/>
    </xf>
    <xf numFmtId="0" fontId="5" fillId="14" borderId="23" xfId="6" applyNumberFormat="1" applyFont="1" applyFill="1" applyBorder="1" applyAlignment="1">
      <alignment horizontal="center"/>
    </xf>
    <xf numFmtId="165" fontId="5" fillId="14" borderId="22" xfId="6" applyNumberFormat="1" applyFont="1" applyFill="1" applyBorder="1" applyAlignment="1">
      <alignment horizontal="right" vertical="center"/>
    </xf>
    <xf numFmtId="165" fontId="5" fillId="14" borderId="57" xfId="6" applyNumberFormat="1" applyFont="1" applyFill="1" applyBorder="1" applyAlignment="1">
      <alignment horizontal="right" vertical="center"/>
    </xf>
    <xf numFmtId="165" fontId="5" fillId="14" borderId="25" xfId="6" applyNumberFormat="1" applyFont="1" applyFill="1" applyBorder="1" applyAlignment="1">
      <alignment horizontal="right" vertical="center"/>
    </xf>
    <xf numFmtId="165" fontId="5" fillId="14" borderId="26" xfId="6" applyNumberFormat="1" applyFont="1" applyFill="1" applyBorder="1" applyAlignment="1">
      <alignment horizontal="right" vertical="center"/>
    </xf>
    <xf numFmtId="1" fontId="10" fillId="14" borderId="23" xfId="5" applyNumberFormat="1" applyFont="1" applyFill="1" applyBorder="1" applyAlignment="1">
      <alignment vertical="center"/>
    </xf>
    <xf numFmtId="165" fontId="6" fillId="14" borderId="18" xfId="6" applyNumberFormat="1" applyFont="1" applyFill="1" applyBorder="1" applyAlignment="1">
      <alignment horizontal="right" vertical="center"/>
    </xf>
    <xf numFmtId="165" fontId="5" fillId="14" borderId="18" xfId="6" applyNumberFormat="1" applyFont="1" applyFill="1" applyBorder="1" applyAlignment="1">
      <alignment horizontal="right" vertical="center"/>
    </xf>
    <xf numFmtId="165" fontId="6" fillId="14" borderId="29" xfId="6" applyNumberFormat="1" applyFont="1" applyFill="1" applyBorder="1" applyAlignment="1">
      <alignment horizontal="right" vertical="center"/>
    </xf>
    <xf numFmtId="165" fontId="6" fillId="14" borderId="12" xfId="6" applyNumberFormat="1" applyFont="1" applyFill="1" applyBorder="1" applyAlignment="1">
      <alignment horizontal="right" vertical="center"/>
    </xf>
    <xf numFmtId="165" fontId="5" fillId="14" borderId="41" xfId="6" applyNumberFormat="1" applyFont="1" applyFill="1" applyBorder="1" applyAlignment="1">
      <alignment vertical="center"/>
    </xf>
    <xf numFmtId="165" fontId="5" fillId="14" borderId="37" xfId="6" applyNumberFormat="1" applyFont="1" applyFill="1" applyBorder="1" applyAlignment="1">
      <alignment vertical="center"/>
    </xf>
    <xf numFmtId="165" fontId="5" fillId="14" borderId="69" xfId="6" applyNumberFormat="1" applyFont="1" applyFill="1" applyBorder="1" applyAlignment="1">
      <alignment vertical="center"/>
    </xf>
    <xf numFmtId="165" fontId="6" fillId="14" borderId="22" xfId="6" applyNumberFormat="1" applyFont="1" applyFill="1" applyBorder="1" applyAlignment="1">
      <alignment horizontal="right" vertical="center"/>
    </xf>
    <xf numFmtId="165" fontId="10" fillId="14" borderId="15" xfId="6" applyNumberFormat="1" applyFont="1" applyFill="1" applyBorder="1" applyAlignment="1">
      <alignment horizontal="right" vertical="center"/>
    </xf>
    <xf numFmtId="165" fontId="6" fillId="14" borderId="17" xfId="6" applyNumberFormat="1" applyFont="1" applyFill="1" applyBorder="1" applyAlignment="1">
      <alignment horizontal="right" vertical="center"/>
    </xf>
    <xf numFmtId="168" fontId="10" fillId="14" borderId="48" xfId="5" applyNumberFormat="1" applyFont="1" applyFill="1" applyBorder="1" applyAlignment="1">
      <alignment horizontal="right" vertical="center"/>
    </xf>
    <xf numFmtId="168" fontId="10" fillId="14" borderId="21" xfId="5" applyNumberFormat="1" applyFont="1" applyFill="1" applyBorder="1" applyAlignment="1">
      <alignment horizontal="right" vertical="center"/>
    </xf>
    <xf numFmtId="0" fontId="7" fillId="14" borderId="18" xfId="5" applyFont="1" applyFill="1" applyBorder="1" applyAlignment="1">
      <alignment horizontal="right" vertical="center"/>
    </xf>
    <xf numFmtId="165" fontId="13" fillId="14" borderId="23" xfId="6" applyNumberFormat="1" applyFont="1" applyFill="1" applyBorder="1" applyAlignment="1">
      <alignment horizontal="right" vertical="center"/>
    </xf>
    <xf numFmtId="0" fontId="5" fillId="14" borderId="22" xfId="5" applyFont="1" applyFill="1" applyBorder="1" applyAlignment="1">
      <alignment vertical="center" wrapText="1"/>
    </xf>
    <xf numFmtId="164" fontId="7" fillId="14" borderId="18" xfId="6" applyNumberFormat="1" applyFont="1" applyFill="1" applyBorder="1" applyAlignment="1">
      <alignment horizontal="right" vertical="center"/>
    </xf>
    <xf numFmtId="165" fontId="6" fillId="14" borderId="23" xfId="6" applyNumberFormat="1" applyFont="1" applyFill="1" applyBorder="1" applyAlignment="1">
      <alignment horizontal="right" vertical="center"/>
    </xf>
    <xf numFmtId="0" fontId="5" fillId="14" borderId="22" xfId="8" applyFont="1" applyFill="1" applyBorder="1"/>
    <xf numFmtId="165" fontId="5" fillId="14" borderId="61" xfId="6" applyNumberFormat="1" applyFont="1" applyFill="1" applyBorder="1" applyAlignment="1">
      <alignment horizontal="right" vertical="center"/>
    </xf>
    <xf numFmtId="165" fontId="5" fillId="14" borderId="68" xfId="6" applyNumberFormat="1" applyFont="1" applyFill="1" applyBorder="1" applyAlignment="1">
      <alignment horizontal="right" vertical="center"/>
    </xf>
    <xf numFmtId="165" fontId="5" fillId="14" borderId="23" xfId="6" applyNumberFormat="1" applyFont="1" applyFill="1" applyBorder="1" applyAlignment="1">
      <alignment horizontal="right" vertical="center"/>
    </xf>
    <xf numFmtId="165" fontId="14" fillId="14" borderId="23" xfId="6" applyNumberFormat="1" applyFont="1" applyFill="1" applyBorder="1" applyAlignment="1">
      <alignment horizontal="right" vertical="center"/>
    </xf>
    <xf numFmtId="0" fontId="32" fillId="0" borderId="0" xfId="7" applyFont="1" applyFill="1" applyBorder="1" applyAlignment="1">
      <alignment horizontal="center" vertical="center"/>
    </xf>
    <xf numFmtId="165" fontId="32" fillId="0" borderId="0" xfId="7" applyNumberFormat="1" applyFont="1" applyFill="1" applyBorder="1" applyAlignment="1">
      <alignment horizontal="right" vertical="center"/>
    </xf>
    <xf numFmtId="164" fontId="32" fillId="0" borderId="0" xfId="11" applyNumberFormat="1" applyFont="1" applyFill="1" applyBorder="1" applyAlignment="1">
      <alignment horizontal="right" vertical="center"/>
    </xf>
    <xf numFmtId="165" fontId="34" fillId="0" borderId="0" xfId="7" applyNumberFormat="1" applyFont="1" applyFill="1" applyBorder="1" applyAlignment="1">
      <alignment horizontal="right" vertical="center"/>
    </xf>
    <xf numFmtId="43" fontId="32" fillId="0" borderId="0" xfId="12" applyNumberFormat="1" applyFont="1" applyFill="1" applyBorder="1" applyAlignment="1">
      <alignment horizontal="right" vertical="center"/>
    </xf>
    <xf numFmtId="0" fontId="24" fillId="0" borderId="0" xfId="5" applyFont="1" applyFill="1" applyBorder="1" applyAlignment="1">
      <alignment horizontal="left" vertical="center"/>
    </xf>
    <xf numFmtId="165" fontId="32" fillId="0" borderId="0" xfId="12" applyNumberFormat="1" applyFont="1" applyFill="1" applyBorder="1" applyAlignment="1">
      <alignment horizontal="right" vertical="center"/>
    </xf>
    <xf numFmtId="1" fontId="32" fillId="0" borderId="0" xfId="7" applyNumberFormat="1" applyFont="1" applyFill="1" applyBorder="1" applyAlignment="1">
      <alignment horizontal="right" vertical="center"/>
    </xf>
    <xf numFmtId="41" fontId="34" fillId="0" borderId="0" xfId="7" applyNumberFormat="1" applyFont="1" applyFill="1" applyBorder="1" applyAlignment="1">
      <alignment horizontal="left" vertical="center"/>
    </xf>
    <xf numFmtId="41" fontId="23" fillId="0" borderId="0" xfId="5" applyNumberFormat="1" applyFont="1" applyFill="1" applyBorder="1" applyAlignment="1">
      <alignment horizontal="left" vertical="center"/>
    </xf>
    <xf numFmtId="0" fontId="23" fillId="0" borderId="0" xfId="5" applyFont="1" applyFill="1" applyBorder="1" applyAlignment="1">
      <alignment horizontal="left" vertical="center"/>
    </xf>
    <xf numFmtId="0" fontId="22" fillId="0" borderId="0" xfId="6" applyNumberFormat="1" applyFont="1" applyFill="1" applyBorder="1" applyAlignment="1">
      <alignment horizontal="left" vertical="center"/>
    </xf>
    <xf numFmtId="1" fontId="7" fillId="6" borderId="9" xfId="5" applyNumberFormat="1" applyFont="1" applyFill="1" applyBorder="1" applyAlignment="1">
      <alignment horizontal="center" vertical="center"/>
    </xf>
    <xf numFmtId="3" fontId="5" fillId="6" borderId="9" xfId="5" applyNumberFormat="1" applyFont="1" applyFill="1" applyBorder="1" applyAlignment="1">
      <alignment horizontal="center" vertical="center"/>
    </xf>
    <xf numFmtId="164" fontId="7" fillId="6" borderId="65" xfId="6" applyNumberFormat="1" applyFont="1" applyFill="1" applyBorder="1" applyAlignment="1">
      <alignment horizontal="right" vertical="center"/>
    </xf>
    <xf numFmtId="165" fontId="5" fillId="14" borderId="29" xfId="6" applyNumberFormat="1" applyFont="1" applyFill="1" applyBorder="1" applyAlignment="1">
      <alignment horizontal="right" vertical="center"/>
    </xf>
    <xf numFmtId="165" fontId="5" fillId="6" borderId="66" xfId="6" applyNumberFormat="1" applyFont="1" applyFill="1" applyBorder="1" applyAlignment="1">
      <alignment horizontal="right" vertical="center"/>
    </xf>
    <xf numFmtId="165" fontId="5" fillId="12" borderId="66" xfId="6" applyNumberFormat="1" applyFont="1" applyFill="1" applyBorder="1" applyAlignment="1">
      <alignment horizontal="right" vertical="center"/>
    </xf>
    <xf numFmtId="165" fontId="27" fillId="12" borderId="67" xfId="1" applyNumberFormat="1" applyFont="1" applyFill="1" applyBorder="1" applyAlignment="1">
      <alignment horizontal="right" vertical="center"/>
    </xf>
    <xf numFmtId="165" fontId="27" fillId="7" borderId="61" xfId="1" applyNumberFormat="1" applyFont="1" applyFill="1" applyBorder="1" applyAlignment="1">
      <alignment horizontal="right" vertical="center"/>
    </xf>
    <xf numFmtId="165" fontId="7" fillId="7" borderId="68" xfId="14" applyNumberFormat="1" applyFont="1" applyFill="1" applyBorder="1" applyAlignment="1">
      <alignment horizontal="right" vertical="center"/>
    </xf>
    <xf numFmtId="165" fontId="7" fillId="15" borderId="29" xfId="5" applyNumberFormat="1" applyFont="1" applyFill="1" applyBorder="1" applyAlignment="1">
      <alignment horizontal="left" vertical="center"/>
    </xf>
    <xf numFmtId="165" fontId="27" fillId="15" borderId="67" xfId="1" applyNumberFormat="1" applyFont="1" applyFill="1" applyBorder="1" applyAlignment="1">
      <alignment horizontal="right" vertical="center"/>
    </xf>
    <xf numFmtId="165" fontId="10" fillId="9" borderId="29" xfId="5" applyNumberFormat="1" applyFont="1" applyFill="1" applyBorder="1" applyAlignment="1">
      <alignment horizontal="left" vertical="center"/>
    </xf>
    <xf numFmtId="0" fontId="5" fillId="6" borderId="2" xfId="5" applyFont="1" applyFill="1" applyBorder="1" applyAlignment="1">
      <alignment horizontal="center"/>
    </xf>
    <xf numFmtId="165" fontId="7" fillId="6" borderId="5" xfId="6" applyNumberFormat="1" applyFont="1" applyFill="1" applyBorder="1" applyAlignment="1">
      <alignment horizontal="right" vertical="center"/>
    </xf>
    <xf numFmtId="165" fontId="5" fillId="12" borderId="43" xfId="6" applyNumberFormat="1" applyFont="1" applyFill="1" applyBorder="1" applyAlignment="1">
      <alignment horizontal="right" vertical="center"/>
    </xf>
    <xf numFmtId="165" fontId="7" fillId="7" borderId="24" xfId="14" applyNumberFormat="1" applyFont="1" applyFill="1" applyBorder="1" applyAlignment="1">
      <alignment horizontal="right" vertical="center"/>
    </xf>
    <xf numFmtId="1" fontId="7" fillId="6" borderId="10" xfId="5" applyNumberFormat="1" applyFont="1" applyFill="1" applyBorder="1" applyAlignment="1">
      <alignment horizontal="center" vertical="center"/>
    </xf>
    <xf numFmtId="0" fontId="9" fillId="6" borderId="10" xfId="5" applyFont="1" applyFill="1" applyBorder="1" applyAlignment="1">
      <alignment horizontal="center"/>
    </xf>
    <xf numFmtId="165" fontId="8" fillId="6" borderId="0" xfId="6" applyNumberFormat="1" applyFont="1" applyFill="1" applyBorder="1" applyAlignment="1">
      <alignment horizontal="right" vertical="center"/>
    </xf>
    <xf numFmtId="165" fontId="9" fillId="14" borderId="61" xfId="6" applyNumberFormat="1" applyFont="1" applyFill="1" applyBorder="1" applyAlignment="1">
      <alignment horizontal="right" vertical="center"/>
    </xf>
    <xf numFmtId="165" fontId="6" fillId="14" borderId="68" xfId="6" applyNumberFormat="1" applyFont="1" applyFill="1" applyBorder="1" applyAlignment="1">
      <alignment horizontal="right" vertical="center"/>
    </xf>
    <xf numFmtId="165" fontId="9" fillId="6" borderId="76" xfId="6" applyNumberFormat="1" applyFont="1" applyFill="1" applyBorder="1" applyAlignment="1">
      <alignment horizontal="right" vertical="center"/>
    </xf>
    <xf numFmtId="43" fontId="6" fillId="6" borderId="62" xfId="9" applyFont="1" applyFill="1" applyBorder="1"/>
    <xf numFmtId="165" fontId="25" fillId="11" borderId="68" xfId="1" applyNumberFormat="1" applyFont="1" applyFill="1" applyBorder="1" applyAlignment="1">
      <alignment horizontal="right" vertical="center"/>
    </xf>
    <xf numFmtId="165" fontId="5" fillId="12" borderId="76" xfId="6" applyNumberFormat="1" applyFont="1" applyFill="1" applyBorder="1" applyAlignment="1">
      <alignment horizontal="right" vertical="center"/>
    </xf>
    <xf numFmtId="165" fontId="10" fillId="7" borderId="61" xfId="1" applyNumberFormat="1" applyFont="1" applyFill="1" applyBorder="1" applyAlignment="1">
      <alignment horizontal="right" vertical="center"/>
    </xf>
    <xf numFmtId="165" fontId="25" fillId="15" borderId="62" xfId="1" applyNumberFormat="1" applyFont="1" applyFill="1" applyBorder="1" applyAlignment="1">
      <alignment horizontal="right" vertical="center"/>
    </xf>
    <xf numFmtId="0" fontId="16" fillId="6" borderId="2" xfId="5" applyFont="1" applyFill="1" applyBorder="1" applyAlignment="1">
      <alignment horizontal="center"/>
    </xf>
    <xf numFmtId="165" fontId="20" fillId="6" borderId="5" xfId="6" applyNumberFormat="1" applyFont="1" applyFill="1" applyBorder="1" applyAlignment="1">
      <alignment horizontal="right" vertical="center"/>
    </xf>
    <xf numFmtId="165" fontId="16" fillId="6" borderId="43" xfId="6" applyNumberFormat="1" applyFont="1" applyFill="1" applyBorder="1" applyAlignment="1">
      <alignment horizontal="right" vertical="center"/>
    </xf>
    <xf numFmtId="3" fontId="5" fillId="6" borderId="10" xfId="5" applyNumberFormat="1" applyFont="1" applyFill="1" applyBorder="1" applyAlignment="1">
      <alignment horizontal="center" vertical="center"/>
    </xf>
    <xf numFmtId="43" fontId="7" fillId="6" borderId="0" xfId="6" applyNumberFormat="1" applyFont="1" applyFill="1" applyBorder="1" applyAlignment="1">
      <alignment horizontal="right" vertical="center"/>
    </xf>
    <xf numFmtId="0" fontId="7" fillId="11" borderId="68" xfId="5" applyFont="1" applyFill="1" applyBorder="1" applyAlignment="1">
      <alignment horizontal="left" vertical="center"/>
    </xf>
    <xf numFmtId="165" fontId="7" fillId="12" borderId="62" xfId="5" applyNumberFormat="1" applyFont="1" applyFill="1" applyBorder="1" applyAlignment="1">
      <alignment horizontal="left" vertical="center"/>
    </xf>
    <xf numFmtId="165" fontId="5" fillId="15" borderId="62" xfId="6" applyNumberFormat="1" applyFont="1" applyFill="1" applyBorder="1" applyAlignment="1">
      <alignment horizontal="right" vertical="center"/>
    </xf>
    <xf numFmtId="0" fontId="9" fillId="6" borderId="2" xfId="5" applyFont="1" applyFill="1" applyBorder="1" applyAlignment="1">
      <alignment horizontal="center"/>
    </xf>
    <xf numFmtId="165" fontId="8" fillId="6" borderId="5" xfId="6" applyNumberFormat="1" applyFont="1" applyFill="1" applyBorder="1" applyAlignment="1">
      <alignment horizontal="right" vertical="center"/>
    </xf>
    <xf numFmtId="165" fontId="9" fillId="14" borderId="23" xfId="6" applyNumberFormat="1" applyFont="1" applyFill="1" applyBorder="1" applyAlignment="1">
      <alignment horizontal="right" vertical="center"/>
    </xf>
    <xf numFmtId="165" fontId="9" fillId="6" borderId="43" xfId="6" applyNumberFormat="1" applyFont="1" applyFill="1" applyBorder="1" applyAlignment="1">
      <alignment horizontal="right" vertical="center"/>
    </xf>
    <xf numFmtId="0" fontId="7" fillId="9" borderId="68" xfId="5" applyFont="1" applyFill="1" applyBorder="1" applyAlignment="1">
      <alignment horizontal="left" vertical="center"/>
    </xf>
    <xf numFmtId="165" fontId="7" fillId="13" borderId="66" xfId="5" applyNumberFormat="1" applyFont="1" applyFill="1" applyBorder="1" applyAlignment="1">
      <alignment horizontal="left" vertical="center"/>
    </xf>
    <xf numFmtId="165" fontId="7" fillId="13" borderId="43" xfId="5" applyNumberFormat="1" applyFont="1" applyFill="1" applyBorder="1" applyAlignment="1">
      <alignment horizontal="left" vertical="center"/>
    </xf>
    <xf numFmtId="165" fontId="7" fillId="13" borderId="76" xfId="5" applyNumberFormat="1" applyFont="1" applyFill="1" applyBorder="1" applyAlignment="1">
      <alignment horizontal="left" vertical="center"/>
    </xf>
    <xf numFmtId="43" fontId="27" fillId="10" borderId="68" xfId="1" applyNumberFormat="1" applyFont="1" applyFill="1" applyBorder="1" applyAlignment="1">
      <alignment horizontal="right" vertical="center"/>
    </xf>
    <xf numFmtId="0" fontId="36" fillId="2" borderId="0" xfId="5" applyFont="1" applyFill="1" applyBorder="1" applyAlignment="1">
      <alignment horizontal="left" vertical="center"/>
    </xf>
    <xf numFmtId="0" fontId="36" fillId="0" borderId="0" xfId="5" applyFont="1" applyFill="1" applyBorder="1" applyAlignment="1">
      <alignment horizontal="left" vertical="center"/>
    </xf>
    <xf numFmtId="165" fontId="36" fillId="0" borderId="0" xfId="0" applyNumberFormat="1" applyFont="1" applyFill="1" applyBorder="1" applyAlignment="1">
      <alignment horizontal="center" vertical="center" wrapText="1"/>
    </xf>
    <xf numFmtId="1" fontId="37" fillId="0" borderId="7" xfId="5" applyNumberFormat="1" applyFont="1" applyFill="1" applyBorder="1" applyAlignment="1">
      <alignment horizontal="center" vertical="center"/>
    </xf>
    <xf numFmtId="3" fontId="36" fillId="0" borderId="7" xfId="5" applyNumberFormat="1" applyFont="1" applyFill="1" applyBorder="1" applyAlignment="1">
      <alignment horizontal="center" vertical="center"/>
    </xf>
    <xf numFmtId="1" fontId="37" fillId="0" borderId="2" xfId="5" applyNumberFormat="1" applyFont="1" applyFill="1" applyBorder="1" applyAlignment="1">
      <alignment horizontal="center" vertical="center"/>
    </xf>
    <xf numFmtId="1" fontId="37" fillId="0" borderId="2" xfId="5" applyNumberFormat="1" applyFont="1" applyFill="1" applyBorder="1" applyAlignment="1">
      <alignment vertical="center"/>
    </xf>
    <xf numFmtId="1" fontId="37" fillId="0" borderId="23" xfId="5" applyNumberFormat="1" applyFont="1" applyFill="1" applyBorder="1" applyAlignment="1">
      <alignment vertical="center"/>
    </xf>
    <xf numFmtId="1" fontId="37" fillId="0" borderId="10" xfId="5" applyNumberFormat="1" applyFont="1" applyFill="1" applyBorder="1" applyAlignment="1">
      <alignment horizontal="center" vertical="center"/>
    </xf>
    <xf numFmtId="1" fontId="37" fillId="0" borderId="8" xfId="5" applyNumberFormat="1" applyFont="1" applyFill="1" applyBorder="1" applyAlignment="1">
      <alignment horizontal="center" vertical="center"/>
    </xf>
    <xf numFmtId="168" fontId="36" fillId="2" borderId="0" xfId="5" applyNumberFormat="1" applyFont="1" applyFill="1" applyBorder="1" applyAlignment="1">
      <alignment horizontal="left" vertical="center"/>
    </xf>
    <xf numFmtId="168" fontId="36" fillId="0" borderId="0" xfId="5" applyNumberFormat="1" applyFont="1" applyFill="1" applyBorder="1" applyAlignment="1">
      <alignment horizontal="left" vertical="center"/>
    </xf>
    <xf numFmtId="1" fontId="37" fillId="0" borderId="33" xfId="5" applyNumberFormat="1" applyFont="1" applyFill="1" applyBorder="1" applyAlignment="1">
      <alignment horizontal="center" vertical="center"/>
    </xf>
    <xf numFmtId="3" fontId="36" fillId="0" borderId="33" xfId="5" applyNumberFormat="1" applyFont="1" applyFill="1" applyBorder="1" applyAlignment="1">
      <alignment horizontal="center" vertical="center"/>
    </xf>
    <xf numFmtId="165" fontId="36" fillId="0" borderId="18" xfId="6" applyNumberFormat="1" applyFont="1" applyFill="1" applyBorder="1" applyAlignment="1">
      <alignment horizontal="right" vertical="center"/>
    </xf>
    <xf numFmtId="165" fontId="36" fillId="0" borderId="48" xfId="6" applyNumberFormat="1" applyFont="1" applyFill="1" applyBorder="1" applyAlignment="1">
      <alignment horizontal="right" vertical="center"/>
    </xf>
    <xf numFmtId="165" fontId="36" fillId="0" borderId="22" xfId="6" applyNumberFormat="1" applyFont="1" applyFill="1" applyBorder="1" applyAlignment="1">
      <alignment horizontal="right" vertical="center"/>
    </xf>
    <xf numFmtId="164" fontId="36" fillId="0" borderId="18" xfId="6" applyNumberFormat="1" applyFont="1" applyFill="1" applyBorder="1" applyAlignment="1">
      <alignment horizontal="right" vertical="center"/>
    </xf>
    <xf numFmtId="1" fontId="37" fillId="0" borderId="9" xfId="5" applyNumberFormat="1" applyFont="1" applyFill="1" applyBorder="1" applyAlignment="1">
      <alignment horizontal="center" vertical="center"/>
    </xf>
    <xf numFmtId="0" fontId="41" fillId="0" borderId="0" xfId="7" applyFont="1" applyFill="1" applyBorder="1" applyAlignment="1">
      <alignment horizontal="right" vertical="center"/>
    </xf>
    <xf numFmtId="0" fontId="41" fillId="0" borderId="0" xfId="0" applyFont="1" applyFill="1" applyAlignment="1">
      <alignment horizontal="right" vertical="center"/>
    </xf>
    <xf numFmtId="0" fontId="42" fillId="0" borderId="0" xfId="0" applyFont="1" applyFill="1" applyAlignment="1">
      <alignment vertical="center"/>
    </xf>
    <xf numFmtId="0" fontId="40" fillId="0" borderId="0" xfId="0" applyFont="1" applyFill="1"/>
    <xf numFmtId="0" fontId="43" fillId="0" borderId="0" xfId="0" applyFont="1" applyFill="1" applyAlignment="1"/>
    <xf numFmtId="0" fontId="44" fillId="0" borderId="0" xfId="7" applyFont="1" applyFill="1" applyBorder="1" applyAlignment="1">
      <alignment horizontal="center" vertical="center"/>
    </xf>
    <xf numFmtId="165" fontId="43" fillId="0" borderId="0" xfId="0" applyNumberFormat="1" applyFont="1" applyFill="1" applyAlignment="1"/>
    <xf numFmtId="0" fontId="36" fillId="0" borderId="0" xfId="7" applyFont="1" applyFill="1" applyBorder="1" applyAlignment="1">
      <alignment horizontal="left" vertical="center"/>
    </xf>
    <xf numFmtId="0" fontId="43" fillId="0" borderId="0" xfId="7" applyFont="1" applyFill="1" applyBorder="1" applyAlignment="1">
      <alignment horizontal="left" vertical="center"/>
    </xf>
    <xf numFmtId="165" fontId="40" fillId="0" borderId="0" xfId="7" applyNumberFormat="1" applyFont="1" applyFill="1" applyBorder="1" applyAlignment="1">
      <alignment horizontal="left" vertical="center"/>
    </xf>
    <xf numFmtId="0" fontId="40" fillId="0" borderId="0" xfId="0" applyFont="1" applyFill="1" applyAlignment="1">
      <alignment horizontal="right" vertical="center"/>
    </xf>
    <xf numFmtId="0" fontId="43" fillId="0" borderId="0" xfId="0" applyFont="1" applyFill="1" applyAlignment="1">
      <alignment vertical="center"/>
    </xf>
    <xf numFmtId="0" fontId="40" fillId="0" borderId="0" xfId="7" applyFont="1" applyFill="1" applyBorder="1" applyAlignment="1">
      <alignment horizontal="left" vertical="center"/>
    </xf>
    <xf numFmtId="0" fontId="40" fillId="0" borderId="0" xfId="7" applyFont="1" applyFill="1" applyBorder="1" applyAlignment="1">
      <alignment vertical="center"/>
    </xf>
    <xf numFmtId="0" fontId="43" fillId="0" borderId="0" xfId="0" applyFont="1" applyFill="1"/>
    <xf numFmtId="0" fontId="40" fillId="0" borderId="0" xfId="0" applyFont="1" applyFill="1" applyAlignment="1">
      <alignment horizontal="right"/>
    </xf>
    <xf numFmtId="0" fontId="40" fillId="0" borderId="0" xfId="0" applyFont="1" applyFill="1" applyAlignment="1"/>
    <xf numFmtId="1" fontId="36" fillId="0" borderId="0" xfId="5" applyNumberFormat="1" applyFont="1" applyFill="1" applyBorder="1" applyAlignment="1">
      <alignment horizontal="right" vertical="center"/>
    </xf>
    <xf numFmtId="41" fontId="36" fillId="0" borderId="0" xfId="10" applyFont="1" applyFill="1" applyBorder="1" applyAlignment="1">
      <alignment horizontal="right" vertical="center"/>
    </xf>
    <xf numFmtId="164" fontId="36" fillId="0" borderId="0" xfId="6" applyNumberFormat="1" applyFont="1" applyFill="1" applyBorder="1" applyAlignment="1">
      <alignment horizontal="right" vertical="center"/>
    </xf>
    <xf numFmtId="0" fontId="36" fillId="0" borderId="0" xfId="5" applyFont="1" applyFill="1" applyBorder="1" applyAlignment="1">
      <alignment horizontal="center" vertical="center"/>
    </xf>
    <xf numFmtId="0" fontId="36" fillId="0" borderId="0" xfId="5" applyFont="1" applyFill="1" applyBorder="1" applyAlignment="1">
      <alignment horizontal="left" vertical="center" wrapText="1"/>
    </xf>
    <xf numFmtId="164" fontId="36" fillId="0" borderId="0" xfId="6" applyNumberFormat="1" applyFont="1" applyFill="1" applyBorder="1" applyAlignment="1">
      <alignment horizontal="center" vertical="center"/>
    </xf>
    <xf numFmtId="165" fontId="36" fillId="0" borderId="0" xfId="6" applyNumberFormat="1" applyFont="1" applyFill="1" applyBorder="1" applyAlignment="1">
      <alignment horizontal="right"/>
    </xf>
    <xf numFmtId="0" fontId="37" fillId="0" borderId="0" xfId="5" applyFont="1" applyFill="1" applyBorder="1" applyAlignment="1">
      <alignment horizontal="center" vertical="center" wrapText="1"/>
    </xf>
    <xf numFmtId="0" fontId="37" fillId="0" borderId="0" xfId="5" applyFont="1" applyFill="1" applyBorder="1" applyAlignment="1">
      <alignment vertical="center"/>
    </xf>
    <xf numFmtId="0" fontId="37" fillId="0" borderId="0" xfId="5" applyFont="1" applyFill="1" applyBorder="1" applyAlignment="1">
      <alignment horizontal="left" vertical="center"/>
    </xf>
    <xf numFmtId="164" fontId="36" fillId="0" borderId="0" xfId="5" applyNumberFormat="1" applyFont="1" applyFill="1" applyBorder="1" applyAlignment="1">
      <alignment horizontal="center" vertical="center" wrapText="1"/>
    </xf>
    <xf numFmtId="0" fontId="37" fillId="0" borderId="0" xfId="5" applyFont="1" applyFill="1" applyBorder="1" applyAlignment="1">
      <alignment horizontal="center" vertical="center"/>
    </xf>
    <xf numFmtId="165" fontId="37" fillId="0" borderId="0" xfId="5" applyNumberFormat="1" applyFont="1" applyFill="1" applyBorder="1" applyAlignment="1">
      <alignment horizontal="right" vertical="center"/>
    </xf>
    <xf numFmtId="0" fontId="37" fillId="0" borderId="0" xfId="5" applyFont="1" applyFill="1" applyBorder="1" applyAlignment="1">
      <alignment horizontal="right" vertical="center"/>
    </xf>
    <xf numFmtId="164" fontId="37" fillId="0" borderId="0" xfId="6" applyNumberFormat="1" applyFont="1" applyFill="1" applyBorder="1" applyAlignment="1">
      <alignment horizontal="right" vertical="center"/>
    </xf>
    <xf numFmtId="0" fontId="36" fillId="0" borderId="0" xfId="5" applyFont="1" applyFill="1" applyBorder="1" applyAlignment="1">
      <alignment horizontal="right" vertical="center"/>
    </xf>
    <xf numFmtId="165" fontId="37" fillId="0" borderId="0" xfId="6" applyNumberFormat="1" applyFont="1" applyFill="1" applyBorder="1" applyAlignment="1">
      <alignment horizontal="right" vertical="center"/>
    </xf>
    <xf numFmtId="43" fontId="36" fillId="0" borderId="0" xfId="6" applyNumberFormat="1" applyFont="1" applyFill="1" applyBorder="1" applyAlignment="1">
      <alignment horizontal="right" vertical="center"/>
    </xf>
    <xf numFmtId="165" fontId="36" fillId="0" borderId="0" xfId="6" applyNumberFormat="1" applyFont="1" applyFill="1" applyBorder="1" applyAlignment="1">
      <alignment horizontal="right" vertical="center"/>
    </xf>
    <xf numFmtId="165" fontId="37" fillId="0" borderId="0" xfId="5" applyNumberFormat="1" applyFont="1" applyFill="1" applyBorder="1" applyAlignment="1">
      <alignment horizontal="left" vertical="center"/>
    </xf>
    <xf numFmtId="165" fontId="36" fillId="0" borderId="0" xfId="5" applyNumberFormat="1" applyFont="1" applyFill="1" applyBorder="1" applyAlignment="1">
      <alignment horizontal="left" vertical="center"/>
    </xf>
    <xf numFmtId="0" fontId="43" fillId="0" borderId="0" xfId="0" applyFont="1" applyFill="1" applyAlignment="1">
      <alignment horizontal="center"/>
    </xf>
    <xf numFmtId="0" fontId="45" fillId="0" borderId="0" xfId="3" applyFont="1" applyFill="1" applyBorder="1" applyAlignment="1">
      <alignment vertical="center"/>
    </xf>
    <xf numFmtId="0" fontId="36" fillId="0" borderId="0" xfId="0" applyFont="1" applyFill="1" applyBorder="1" applyAlignment="1">
      <alignment horizontal="center" vertical="center" wrapText="1"/>
    </xf>
    <xf numFmtId="165" fontId="37" fillId="0" borderId="25" xfId="6" applyNumberFormat="1" applyFont="1" applyFill="1" applyBorder="1" applyAlignment="1">
      <alignment horizontal="center"/>
    </xf>
    <xf numFmtId="165" fontId="37" fillId="0" borderId="26" xfId="6" applyNumberFormat="1" applyFont="1" applyFill="1" applyBorder="1" applyAlignment="1">
      <alignment horizontal="center"/>
    </xf>
    <xf numFmtId="165" fontId="37" fillId="0" borderId="0" xfId="6" applyNumberFormat="1" applyFont="1" applyFill="1" applyBorder="1" applyAlignment="1">
      <alignment horizontal="center"/>
    </xf>
    <xf numFmtId="0" fontId="36" fillId="0" borderId="0" xfId="6" applyNumberFormat="1" applyFont="1" applyFill="1" applyBorder="1" applyAlignment="1">
      <alignment horizontal="center"/>
    </xf>
    <xf numFmtId="165" fontId="36" fillId="0" borderId="28" xfId="6" applyNumberFormat="1" applyFont="1" applyFill="1" applyBorder="1" applyAlignment="1">
      <alignment horizontal="right" vertical="center"/>
    </xf>
    <xf numFmtId="165" fontId="36" fillId="0" borderId="2" xfId="6" applyNumberFormat="1" applyFont="1" applyFill="1" applyBorder="1" applyAlignment="1">
      <alignment horizontal="right" vertical="center"/>
    </xf>
    <xf numFmtId="165" fontId="36" fillId="0" borderId="30" xfId="6" applyNumberFormat="1" applyFont="1" applyFill="1" applyBorder="1" applyAlignment="1">
      <alignment horizontal="right" vertical="center"/>
    </xf>
    <xf numFmtId="168" fontId="37" fillId="0" borderId="0" xfId="5" applyNumberFormat="1" applyFont="1" applyFill="1" applyBorder="1" applyAlignment="1">
      <alignment horizontal="right" vertical="center"/>
    </xf>
    <xf numFmtId="165" fontId="36" fillId="0" borderId="33" xfId="6" applyNumberFormat="1" applyFont="1" applyFill="1" applyBorder="1" applyAlignment="1">
      <alignment horizontal="right" vertical="center"/>
    </xf>
    <xf numFmtId="165" fontId="36" fillId="0" borderId="8" xfId="6" applyNumberFormat="1" applyFont="1" applyFill="1" applyBorder="1" applyAlignment="1">
      <alignment horizontal="right" vertical="center"/>
    </xf>
    <xf numFmtId="165" fontId="36" fillId="2" borderId="23" xfId="6" applyNumberFormat="1" applyFont="1" applyFill="1" applyBorder="1" applyAlignment="1">
      <alignment horizontal="right" vertical="center"/>
    </xf>
    <xf numFmtId="165" fontId="37" fillId="0" borderId="24" xfId="6" applyNumberFormat="1" applyFont="1" applyFill="1" applyBorder="1" applyAlignment="1">
      <alignment horizontal="right" vertical="center"/>
    </xf>
    <xf numFmtId="165" fontId="36" fillId="0" borderId="25" xfId="6" applyNumberFormat="1" applyFont="1" applyFill="1" applyBorder="1" applyAlignment="1">
      <alignment horizontal="right" vertical="center"/>
    </xf>
    <xf numFmtId="165" fontId="36" fillId="0" borderId="29" xfId="6" applyNumberFormat="1" applyFont="1" applyFill="1" applyBorder="1" applyAlignment="1">
      <alignment horizontal="right" vertical="center"/>
    </xf>
    <xf numFmtId="165" fontId="37" fillId="0" borderId="0" xfId="1" applyNumberFormat="1" applyFont="1" applyFill="1" applyBorder="1" applyAlignment="1">
      <alignment horizontal="right" vertical="center"/>
    </xf>
    <xf numFmtId="165" fontId="36" fillId="0" borderId="23" xfId="6" applyNumberFormat="1" applyFont="1" applyFill="1" applyBorder="1" applyAlignment="1">
      <alignment horizontal="right" vertical="center"/>
    </xf>
    <xf numFmtId="165" fontId="38" fillId="0" borderId="23" xfId="6" applyNumberFormat="1" applyFont="1" applyFill="1" applyBorder="1" applyAlignment="1">
      <alignment horizontal="right" vertical="center"/>
    </xf>
    <xf numFmtId="43" fontId="36" fillId="0" borderId="0" xfId="1" applyNumberFormat="1" applyFont="1" applyFill="1" applyBorder="1" applyAlignment="1">
      <alignment horizontal="right" vertical="center"/>
    </xf>
    <xf numFmtId="165" fontId="36" fillId="0" borderId="61" xfId="6" applyNumberFormat="1" applyFont="1" applyFill="1" applyBorder="1" applyAlignment="1">
      <alignment horizontal="right" vertical="center"/>
    </xf>
    <xf numFmtId="43" fontId="36" fillId="0" borderId="0" xfId="14" applyFont="1" applyFill="1" applyBorder="1" applyAlignment="1">
      <alignment horizontal="left" vertical="center"/>
    </xf>
    <xf numFmtId="170" fontId="36" fillId="0" borderId="0" xfId="6" applyNumberFormat="1" applyFont="1" applyFill="1" applyBorder="1" applyAlignment="1">
      <alignment horizontal="right" vertical="center"/>
    </xf>
    <xf numFmtId="1" fontId="36" fillId="0" borderId="0" xfId="5" applyNumberFormat="1" applyFont="1" applyFill="1" applyBorder="1" applyAlignment="1">
      <alignment horizontal="left" vertical="center"/>
    </xf>
    <xf numFmtId="165" fontId="36" fillId="0" borderId="0" xfId="14" applyNumberFormat="1" applyFont="1" applyFill="1" applyBorder="1" applyAlignment="1">
      <alignment horizontal="left" vertical="center"/>
    </xf>
    <xf numFmtId="0" fontId="40" fillId="0" borderId="0" xfId="0" applyFont="1" applyFill="1" applyAlignment="1">
      <alignment horizontal="center"/>
    </xf>
    <xf numFmtId="0" fontId="36" fillId="0" borderId="0" xfId="5" applyFont="1" applyFill="1" applyBorder="1" applyAlignment="1">
      <alignment horizontal="right"/>
    </xf>
    <xf numFmtId="43" fontId="36" fillId="0" borderId="0" xfId="6" applyNumberFormat="1" applyFont="1" applyFill="1" applyBorder="1" applyAlignment="1">
      <alignment horizontal="center" vertical="center"/>
    </xf>
    <xf numFmtId="43" fontId="36" fillId="0" borderId="0" xfId="6" applyNumberFormat="1" applyFont="1" applyFill="1" applyBorder="1" applyAlignment="1">
      <alignment horizontal="center"/>
    </xf>
    <xf numFmtId="165" fontId="37" fillId="0" borderId="0" xfId="6" applyNumberFormat="1" applyFont="1" applyFill="1" applyBorder="1" applyAlignment="1">
      <alignment horizontal="right"/>
    </xf>
    <xf numFmtId="0" fontId="37" fillId="0" borderId="0" xfId="5" applyFont="1" applyFill="1" applyBorder="1"/>
    <xf numFmtId="0" fontId="37" fillId="0" borderId="0" xfId="7" applyFont="1" applyFill="1" applyBorder="1" applyAlignment="1">
      <alignment vertical="center"/>
    </xf>
    <xf numFmtId="0" fontId="37" fillId="0" borderId="0" xfId="5" applyFont="1" applyFill="1" applyAlignment="1">
      <alignment horizontal="left" vertical="center"/>
    </xf>
    <xf numFmtId="165" fontId="36" fillId="0" borderId="0" xfId="5" applyNumberFormat="1" applyFont="1" applyFill="1" applyAlignment="1">
      <alignment vertical="center"/>
    </xf>
    <xf numFmtId="3" fontId="36" fillId="0" borderId="0" xfId="5" applyNumberFormat="1" applyFont="1" applyFill="1" applyAlignment="1">
      <alignment horizontal="right" vertical="center"/>
    </xf>
    <xf numFmtId="165" fontId="36" fillId="0" borderId="0" xfId="6" applyNumberFormat="1" applyFont="1" applyFill="1" applyBorder="1" applyAlignment="1">
      <alignment horizontal="left" vertical="center"/>
    </xf>
    <xf numFmtId="0" fontId="36" fillId="0" borderId="0" xfId="5" quotePrefix="1" applyFont="1" applyFill="1" applyBorder="1" applyAlignment="1">
      <alignment horizontal="left" vertical="center"/>
    </xf>
    <xf numFmtId="165" fontId="37" fillId="0" borderId="0" xfId="6" applyNumberFormat="1" applyFont="1" applyFill="1" applyBorder="1" applyAlignment="1">
      <alignment horizontal="left" vertical="center"/>
    </xf>
    <xf numFmtId="165" fontId="36" fillId="0" borderId="9" xfId="6" applyNumberFormat="1" applyFont="1" applyFill="1" applyBorder="1" applyAlignment="1">
      <alignment horizontal="right" vertical="center"/>
    </xf>
    <xf numFmtId="165" fontId="37" fillId="0" borderId="23" xfId="6" applyNumberFormat="1" applyFont="1" applyFill="1" applyBorder="1" applyAlignment="1">
      <alignment horizontal="right" vertical="center"/>
    </xf>
    <xf numFmtId="3" fontId="36" fillId="0" borderId="60" xfId="5" applyNumberFormat="1" applyFont="1" applyFill="1" applyBorder="1" applyAlignment="1">
      <alignment horizontal="center" vertical="center"/>
    </xf>
    <xf numFmtId="1" fontId="37" fillId="0" borderId="14" xfId="5" applyNumberFormat="1" applyFont="1" applyFill="1" applyBorder="1" applyAlignment="1">
      <alignment vertical="center"/>
    </xf>
    <xf numFmtId="3" fontId="36" fillId="0" borderId="72" xfId="5" applyNumberFormat="1" applyFont="1" applyFill="1" applyBorder="1" applyAlignment="1">
      <alignment horizontal="center" vertical="center"/>
    </xf>
    <xf numFmtId="3" fontId="37" fillId="0" borderId="14" xfId="5" applyNumberFormat="1" applyFont="1" applyFill="1" applyBorder="1" applyAlignment="1">
      <alignment horizontal="center" vertical="center"/>
    </xf>
    <xf numFmtId="3" fontId="36" fillId="0" borderId="36" xfId="5" applyNumberFormat="1" applyFont="1" applyFill="1" applyBorder="1" applyAlignment="1">
      <alignment horizontal="center" vertical="center"/>
    </xf>
    <xf numFmtId="3" fontId="36" fillId="0" borderId="14" xfId="5" applyNumberFormat="1" applyFont="1" applyFill="1" applyBorder="1" applyAlignment="1">
      <alignment horizontal="center" vertical="center"/>
    </xf>
    <xf numFmtId="3" fontId="36" fillId="0" borderId="31" xfId="5" applyNumberFormat="1" applyFont="1" applyFill="1" applyBorder="1" applyAlignment="1">
      <alignment horizontal="center" vertical="center"/>
    </xf>
    <xf numFmtId="0" fontId="36" fillId="0" borderId="14" xfId="5" applyFont="1" applyFill="1" applyBorder="1" applyAlignment="1">
      <alignment horizontal="center"/>
    </xf>
    <xf numFmtId="0" fontId="38" fillId="0" borderId="14" xfId="5" applyFont="1" applyFill="1" applyBorder="1" applyAlignment="1">
      <alignment horizontal="center"/>
    </xf>
    <xf numFmtId="3" fontId="37" fillId="0" borderId="24" xfId="5" applyNumberFormat="1" applyFont="1" applyFill="1" applyBorder="1" applyAlignment="1">
      <alignment horizontal="right" vertical="center"/>
    </xf>
    <xf numFmtId="165" fontId="36" fillId="0" borderId="24" xfId="6" applyNumberFormat="1" applyFont="1" applyFill="1" applyBorder="1" applyAlignment="1">
      <alignment horizontal="right" vertical="center"/>
    </xf>
    <xf numFmtId="165" fontId="37" fillId="0" borderId="12" xfId="6" applyNumberFormat="1" applyFont="1" applyFill="1" applyBorder="1" applyAlignment="1">
      <alignment horizontal="right" vertical="center"/>
    </xf>
    <xf numFmtId="3" fontId="36" fillId="0" borderId="73" xfId="5" applyNumberFormat="1" applyFont="1" applyFill="1" applyBorder="1" applyAlignment="1">
      <alignment horizontal="center" vertical="center"/>
    </xf>
    <xf numFmtId="1" fontId="37" fillId="0" borderId="15" xfId="5" applyNumberFormat="1" applyFont="1" applyFill="1" applyBorder="1" applyAlignment="1">
      <alignment horizontal="center" vertical="center"/>
    </xf>
    <xf numFmtId="0" fontId="36" fillId="0" borderId="35" xfId="5" applyFont="1" applyFill="1" applyBorder="1" applyAlignment="1">
      <alignment horizontal="center" vertical="center"/>
    </xf>
    <xf numFmtId="165" fontId="36" fillId="0" borderId="17" xfId="6" applyNumberFormat="1" applyFont="1" applyFill="1" applyBorder="1" applyAlignment="1">
      <alignment horizontal="right" vertical="center"/>
    </xf>
    <xf numFmtId="1" fontId="37" fillId="0" borderId="48" xfId="5" applyNumberFormat="1" applyFont="1" applyFill="1" applyBorder="1" applyAlignment="1">
      <alignment horizontal="center" vertical="center"/>
    </xf>
    <xf numFmtId="165" fontId="36" fillId="0" borderId="21" xfId="6" applyNumberFormat="1" applyFont="1" applyFill="1" applyBorder="1" applyAlignment="1">
      <alignment horizontal="right" vertical="center"/>
    </xf>
    <xf numFmtId="1" fontId="37" fillId="0" borderId="0" xfId="5" applyNumberFormat="1" applyFont="1" applyFill="1" applyBorder="1" applyAlignment="1">
      <alignment horizontal="center" vertical="center"/>
    </xf>
    <xf numFmtId="165" fontId="37" fillId="0" borderId="24" xfId="1" applyNumberFormat="1" applyFont="1" applyFill="1" applyBorder="1" applyAlignment="1">
      <alignment horizontal="right" vertical="center"/>
    </xf>
    <xf numFmtId="0" fontId="38" fillId="0" borderId="73" xfId="5" applyFont="1" applyFill="1" applyBorder="1" applyAlignment="1">
      <alignment horizontal="center"/>
    </xf>
    <xf numFmtId="0" fontId="39" fillId="0" borderId="14" xfId="5" applyFont="1" applyFill="1" applyBorder="1" applyAlignment="1">
      <alignment horizontal="center"/>
    </xf>
    <xf numFmtId="165" fontId="36" fillId="0" borderId="10" xfId="6" applyNumberFormat="1" applyFont="1" applyFill="1" applyBorder="1" applyAlignment="1">
      <alignment horizontal="right" vertical="center"/>
    </xf>
    <xf numFmtId="165" fontId="37" fillId="0" borderId="10" xfId="6" applyNumberFormat="1" applyFont="1" applyFill="1" applyBorder="1" applyAlignment="1">
      <alignment horizontal="right" vertical="center"/>
    </xf>
    <xf numFmtId="168" fontId="37" fillId="0" borderId="2" xfId="5" applyNumberFormat="1" applyFont="1" applyFill="1" applyBorder="1" applyAlignment="1">
      <alignment horizontal="right" vertical="center"/>
    </xf>
    <xf numFmtId="165" fontId="36" fillId="0" borderId="7" xfId="6" applyNumberFormat="1" applyFont="1" applyFill="1" applyBorder="1" applyAlignment="1">
      <alignment horizontal="right" vertical="center"/>
    </xf>
    <xf numFmtId="165" fontId="37" fillId="0" borderId="2" xfId="6" applyNumberFormat="1" applyFont="1" applyFill="1" applyBorder="1" applyAlignment="1">
      <alignment horizontal="right" vertical="center"/>
    </xf>
    <xf numFmtId="164" fontId="36" fillId="0" borderId="10" xfId="6" applyNumberFormat="1" applyFont="1" applyFill="1" applyBorder="1" applyAlignment="1">
      <alignment horizontal="right" vertical="center"/>
    </xf>
    <xf numFmtId="165" fontId="38" fillId="0" borderId="10" xfId="6" applyNumberFormat="1" applyFont="1" applyFill="1" applyBorder="1" applyAlignment="1">
      <alignment horizontal="right" vertical="center"/>
    </xf>
    <xf numFmtId="165" fontId="39" fillId="0" borderId="2" xfId="6" applyNumberFormat="1" applyFont="1" applyFill="1" applyBorder="1" applyAlignment="1">
      <alignment horizontal="right" vertical="center"/>
    </xf>
    <xf numFmtId="43" fontId="36" fillId="0" borderId="2" xfId="6" applyNumberFormat="1" applyFont="1" applyFill="1" applyBorder="1" applyAlignment="1">
      <alignment horizontal="right" vertical="center"/>
    </xf>
    <xf numFmtId="165" fontId="38" fillId="0" borderId="2" xfId="6" applyNumberFormat="1" applyFont="1" applyFill="1" applyBorder="1" applyAlignment="1">
      <alignment horizontal="right" vertical="center"/>
    </xf>
    <xf numFmtId="165" fontId="36" fillId="0" borderId="68" xfId="6" applyNumberFormat="1" applyFont="1" applyFill="1" applyBorder="1" applyAlignment="1">
      <alignment horizontal="right" vertical="center"/>
    </xf>
    <xf numFmtId="165" fontId="37" fillId="0" borderId="61" xfId="6" applyNumberFormat="1" applyFont="1" applyFill="1" applyBorder="1" applyAlignment="1">
      <alignment horizontal="right" vertical="center"/>
    </xf>
    <xf numFmtId="165" fontId="37" fillId="0" borderId="68" xfId="6" applyNumberFormat="1" applyFont="1" applyFill="1" applyBorder="1" applyAlignment="1">
      <alignment horizontal="right" vertical="center"/>
    </xf>
    <xf numFmtId="0" fontId="37" fillId="0" borderId="23" xfId="5" applyNumberFormat="1" applyFont="1" applyFill="1" applyBorder="1" applyAlignment="1">
      <alignment horizontal="right" vertical="center"/>
    </xf>
    <xf numFmtId="0" fontId="3" fillId="0" borderId="22" xfId="5" applyBorder="1"/>
    <xf numFmtId="165" fontId="36" fillId="0" borderId="57" xfId="6" applyNumberFormat="1" applyFont="1" applyFill="1" applyBorder="1" applyAlignment="1">
      <alignment horizontal="right" vertical="center"/>
    </xf>
    <xf numFmtId="0" fontId="3" fillId="0" borderId="18" xfId="5" applyBorder="1"/>
    <xf numFmtId="165" fontId="36" fillId="0" borderId="19" xfId="6" applyNumberFormat="1" applyFont="1" applyFill="1" applyBorder="1" applyAlignment="1">
      <alignment horizontal="right" vertical="center"/>
    </xf>
    <xf numFmtId="0" fontId="3" fillId="0" borderId="18" xfId="5" applyBorder="1" applyAlignment="1">
      <alignment vertical="center"/>
    </xf>
    <xf numFmtId="165" fontId="36" fillId="0" borderId="26" xfId="6" applyNumberFormat="1" applyFont="1" applyFill="1" applyBorder="1" applyAlignment="1">
      <alignment horizontal="right" vertical="center"/>
    </xf>
    <xf numFmtId="165" fontId="36" fillId="2" borderId="29" xfId="6" applyNumberFormat="1" applyFont="1" applyFill="1" applyBorder="1" applyAlignment="1">
      <alignment horizontal="right" vertical="center"/>
    </xf>
    <xf numFmtId="165" fontId="36" fillId="2" borderId="15" xfId="6" applyNumberFormat="1" applyFont="1" applyFill="1" applyBorder="1" applyAlignment="1">
      <alignment horizontal="right" vertical="center"/>
    </xf>
    <xf numFmtId="165" fontId="37" fillId="0" borderId="68" xfId="1" applyNumberFormat="1" applyFont="1" applyFill="1" applyBorder="1" applyAlignment="1">
      <alignment horizontal="right" vertical="center"/>
    </xf>
    <xf numFmtId="165" fontId="38" fillId="0" borderId="61" xfId="6" applyNumberFormat="1" applyFont="1" applyFill="1" applyBorder="1" applyAlignment="1">
      <alignment horizontal="right" vertical="center"/>
    </xf>
    <xf numFmtId="43" fontId="36" fillId="0" borderId="68" xfId="1" applyNumberFormat="1" applyFont="1" applyFill="1" applyBorder="1" applyAlignment="1">
      <alignment horizontal="right" vertical="center"/>
    </xf>
    <xf numFmtId="165" fontId="36" fillId="0" borderId="15" xfId="6" applyNumberFormat="1" applyFont="1" applyFill="1" applyBorder="1" applyAlignment="1">
      <alignment horizontal="right" vertical="center"/>
    </xf>
    <xf numFmtId="165" fontId="37" fillId="0" borderId="61" xfId="1" applyNumberFormat="1" applyFont="1" applyFill="1" applyBorder="1" applyAlignment="1">
      <alignment horizontal="right" vertical="center"/>
    </xf>
    <xf numFmtId="165" fontId="37" fillId="0" borderId="23" xfId="1" applyNumberFormat="1" applyFont="1" applyFill="1" applyBorder="1" applyAlignment="1">
      <alignment horizontal="right" vertical="center"/>
    </xf>
    <xf numFmtId="43" fontId="36" fillId="0" borderId="61" xfId="1" applyNumberFormat="1" applyFont="1" applyFill="1" applyBorder="1" applyAlignment="1">
      <alignment horizontal="right" vertical="center"/>
    </xf>
    <xf numFmtId="43" fontId="37" fillId="0" borderId="23" xfId="1" applyNumberFormat="1" applyFont="1" applyFill="1" applyBorder="1" applyAlignment="1">
      <alignment horizontal="right" vertical="center"/>
    </xf>
    <xf numFmtId="43" fontId="36" fillId="0" borderId="23" xfId="1" applyNumberFormat="1" applyFont="1" applyFill="1" applyBorder="1" applyAlignment="1">
      <alignment horizontal="right" vertical="center"/>
    </xf>
    <xf numFmtId="3" fontId="37" fillId="0" borderId="23" xfId="3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vertical="center" wrapText="1"/>
    </xf>
    <xf numFmtId="168" fontId="37" fillId="0" borderId="2" xfId="5" applyNumberFormat="1" applyFont="1" applyFill="1" applyBorder="1" applyAlignment="1">
      <alignment horizontal="left" vertical="center"/>
    </xf>
    <xf numFmtId="0" fontId="36" fillId="0" borderId="8" xfId="5" applyFont="1" applyFill="1" applyBorder="1" applyAlignment="1">
      <alignment horizontal="center" vertical="center"/>
    </xf>
    <xf numFmtId="0" fontId="37" fillId="0" borderId="2" xfId="5" applyFont="1" applyFill="1" applyBorder="1" applyAlignment="1">
      <alignment horizontal="center"/>
    </xf>
    <xf numFmtId="0" fontId="37" fillId="0" borderId="14" xfId="5" applyFont="1" applyFill="1" applyBorder="1" applyAlignment="1">
      <alignment horizontal="center"/>
    </xf>
    <xf numFmtId="0" fontId="37" fillId="0" borderId="2" xfId="6" applyNumberFormat="1" applyFont="1" applyFill="1" applyBorder="1" applyAlignment="1">
      <alignment horizontal="center"/>
    </xf>
    <xf numFmtId="0" fontId="37" fillId="0" borderId="23" xfId="6" applyNumberFormat="1" applyFont="1" applyFill="1" applyBorder="1" applyAlignment="1">
      <alignment horizontal="center"/>
    </xf>
    <xf numFmtId="0" fontId="37" fillId="0" borderId="24" xfId="6" applyNumberFormat="1" applyFont="1" applyFill="1" applyBorder="1" applyAlignment="1">
      <alignment horizontal="center"/>
    </xf>
    <xf numFmtId="0" fontId="22" fillId="0" borderId="0" xfId="5" applyFont="1"/>
    <xf numFmtId="165" fontId="37" fillId="0" borderId="14" xfId="6" applyNumberFormat="1" applyFont="1" applyFill="1" applyBorder="1" applyAlignment="1">
      <alignment horizontal="right" vertical="center"/>
    </xf>
    <xf numFmtId="165" fontId="37" fillId="0" borderId="67" xfId="6" applyNumberFormat="1" applyFont="1" applyFill="1" applyBorder="1" applyAlignment="1">
      <alignment horizontal="right" vertical="center"/>
    </xf>
    <xf numFmtId="0" fontId="37" fillId="0" borderId="14" xfId="5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165" fontId="27" fillId="13" borderId="67" xfId="1" applyNumberFormat="1" applyFont="1" applyFill="1" applyBorder="1" applyAlignment="1">
      <alignment horizontal="right" vertical="center"/>
    </xf>
    <xf numFmtId="165" fontId="25" fillId="13" borderId="62" xfId="1" applyNumberFormat="1" applyFont="1" applyFill="1" applyBorder="1" applyAlignment="1">
      <alignment horizontal="right" vertical="center"/>
    </xf>
    <xf numFmtId="165" fontId="10" fillId="13" borderId="62" xfId="14" applyNumberFormat="1" applyFont="1" applyFill="1" applyBorder="1" applyAlignment="1">
      <alignment horizontal="left" vertical="center"/>
    </xf>
    <xf numFmtId="165" fontId="7" fillId="8" borderId="29" xfId="5" applyNumberFormat="1" applyFont="1" applyFill="1" applyBorder="1" applyAlignment="1">
      <alignment horizontal="left" vertical="center"/>
    </xf>
    <xf numFmtId="165" fontId="11" fillId="2" borderId="0" xfId="5" applyNumberFormat="1" applyFont="1" applyFill="1" applyBorder="1" applyAlignment="1">
      <alignment horizontal="left" vertical="center"/>
    </xf>
    <xf numFmtId="0" fontId="7" fillId="2" borderId="0" xfId="5" applyFont="1" applyFill="1" applyBorder="1" applyAlignment="1">
      <alignment horizontal="center" vertical="center"/>
    </xf>
    <xf numFmtId="3" fontId="7" fillId="0" borderId="30" xfId="5" applyNumberFormat="1" applyFont="1" applyFill="1" applyBorder="1" applyAlignment="1">
      <alignment horizontal="center" vertical="center"/>
    </xf>
    <xf numFmtId="1" fontId="7" fillId="0" borderId="10" xfId="5" applyNumberFormat="1" applyFont="1" applyFill="1" applyBorder="1" applyAlignment="1">
      <alignment horizontal="center" vertical="center"/>
    </xf>
    <xf numFmtId="1" fontId="7" fillId="0" borderId="7" xfId="5" applyNumberFormat="1" applyFont="1" applyFill="1" applyBorder="1" applyAlignment="1">
      <alignment horizontal="center" vertical="center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0" fontId="37" fillId="0" borderId="14" xfId="5" applyFont="1" applyFill="1" applyBorder="1" applyAlignment="1">
      <alignment horizontal="center"/>
    </xf>
    <xf numFmtId="0" fontId="36" fillId="0" borderId="14" xfId="5" applyFont="1" applyFill="1" applyBorder="1" applyAlignment="1">
      <alignment horizontal="center" vertical="center"/>
    </xf>
    <xf numFmtId="0" fontId="37" fillId="0" borderId="14" xfId="5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0" fontId="46" fillId="0" borderId="0" xfId="5" applyFont="1" applyFill="1" applyBorder="1" applyAlignment="1">
      <alignment horizontal="left" vertical="center"/>
    </xf>
    <xf numFmtId="0" fontId="15" fillId="2" borderId="0" xfId="0" applyFont="1" applyFill="1" applyAlignment="1">
      <alignment vertical="center" wrapText="1"/>
    </xf>
    <xf numFmtId="165" fontId="46" fillId="0" borderId="0" xfId="5" applyNumberFormat="1" applyFont="1" applyFill="1" applyBorder="1" applyAlignment="1">
      <alignment horizontal="left" vertical="center"/>
    </xf>
    <xf numFmtId="165" fontId="46" fillId="0" borderId="0" xfId="6" applyNumberFormat="1" applyFont="1" applyFill="1" applyBorder="1" applyAlignment="1">
      <alignment horizontal="right" vertical="center"/>
    </xf>
    <xf numFmtId="170" fontId="46" fillId="0" borderId="0" xfId="6" applyNumberFormat="1" applyFont="1" applyFill="1" applyBorder="1" applyAlignment="1">
      <alignment horizontal="right" vertical="center"/>
    </xf>
    <xf numFmtId="0" fontId="10" fillId="13" borderId="48" xfId="5" applyFont="1" applyFill="1" applyBorder="1" applyAlignment="1">
      <alignment horizontal="center" vertical="center"/>
    </xf>
    <xf numFmtId="0" fontId="10" fillId="13" borderId="21" xfId="5" applyFont="1" applyFill="1" applyBorder="1" applyAlignment="1">
      <alignment horizontal="center" vertical="center"/>
    </xf>
    <xf numFmtId="0" fontId="5" fillId="0" borderId="2" xfId="5" applyFont="1" applyFill="1" applyBorder="1" applyAlignment="1">
      <alignment horizontal="center" vertical="center"/>
    </xf>
    <xf numFmtId="165" fontId="7" fillId="13" borderId="22" xfId="5" applyNumberFormat="1" applyFont="1" applyFill="1" applyBorder="1" applyAlignment="1">
      <alignment horizontal="left" vertical="center"/>
    </xf>
    <xf numFmtId="165" fontId="7" fillId="13" borderId="57" xfId="5" applyNumberFormat="1" applyFont="1" applyFill="1" applyBorder="1" applyAlignment="1">
      <alignment horizontal="left" vertical="center"/>
    </xf>
    <xf numFmtId="165" fontId="7" fillId="13" borderId="25" xfId="5" applyNumberFormat="1" applyFont="1" applyFill="1" applyBorder="1" applyAlignment="1">
      <alignment horizontal="left" vertical="center"/>
    </xf>
    <xf numFmtId="165" fontId="7" fillId="13" borderId="26" xfId="5" applyNumberFormat="1" applyFont="1" applyFill="1" applyBorder="1" applyAlignment="1">
      <alignment horizontal="left" vertical="center"/>
    </xf>
    <xf numFmtId="1" fontId="10" fillId="13" borderId="2" xfId="5" applyNumberFormat="1" applyFont="1" applyFill="1" applyBorder="1" applyAlignment="1">
      <alignment horizontal="center" vertical="center"/>
    </xf>
    <xf numFmtId="1" fontId="10" fillId="13" borderId="2" xfId="5" applyNumberFormat="1" applyFont="1" applyFill="1" applyBorder="1" applyAlignment="1">
      <alignment vertical="center"/>
    </xf>
    <xf numFmtId="1" fontId="10" fillId="13" borderId="5" xfId="5" applyNumberFormat="1" applyFont="1" applyFill="1" applyBorder="1" applyAlignment="1">
      <alignment vertical="center"/>
    </xf>
    <xf numFmtId="165" fontId="7" fillId="13" borderId="23" xfId="5" applyNumberFormat="1" applyFont="1" applyFill="1" applyBorder="1" applyAlignment="1">
      <alignment horizontal="left" vertical="center"/>
    </xf>
    <xf numFmtId="165" fontId="27" fillId="13" borderId="24" xfId="1" applyNumberFormat="1" applyFont="1" applyFill="1" applyBorder="1" applyAlignment="1">
      <alignment horizontal="right" vertical="center"/>
    </xf>
    <xf numFmtId="165" fontId="7" fillId="13" borderId="18" xfId="5" applyNumberFormat="1" applyFont="1" applyFill="1" applyBorder="1" applyAlignment="1">
      <alignment horizontal="left" vertical="center"/>
    </xf>
    <xf numFmtId="165" fontId="7" fillId="13" borderId="19" xfId="5" applyNumberFormat="1" applyFont="1" applyFill="1" applyBorder="1" applyAlignment="1">
      <alignment horizontal="left" vertical="center"/>
    </xf>
    <xf numFmtId="3" fontId="10" fillId="13" borderId="9" xfId="5" applyNumberFormat="1" applyFont="1" applyFill="1" applyBorder="1" applyAlignment="1">
      <alignment horizontal="center" vertical="center"/>
    </xf>
    <xf numFmtId="165" fontId="6" fillId="13" borderId="65" xfId="6" applyNumberFormat="1" applyFont="1" applyFill="1" applyBorder="1" applyAlignment="1">
      <alignment horizontal="right" vertical="center"/>
    </xf>
    <xf numFmtId="168" fontId="10" fillId="13" borderId="2" xfId="5" applyNumberFormat="1" applyFont="1" applyFill="1" applyBorder="1" applyAlignment="1">
      <alignment horizontal="left" vertical="center"/>
    </xf>
    <xf numFmtId="168" fontId="10" fillId="13" borderId="5" xfId="5" applyNumberFormat="1" applyFont="1" applyFill="1" applyBorder="1" applyAlignment="1">
      <alignment horizontal="right" vertical="center"/>
    </xf>
    <xf numFmtId="1" fontId="7" fillId="13" borderId="2" xfId="5" applyNumberFormat="1" applyFont="1" applyFill="1" applyBorder="1" applyAlignment="1">
      <alignment horizontal="center" vertical="center"/>
    </xf>
    <xf numFmtId="3" fontId="10" fillId="13" borderId="2" xfId="5" applyNumberFormat="1" applyFont="1" applyFill="1" applyBorder="1" applyAlignment="1">
      <alignment horizontal="center" vertical="center"/>
    </xf>
    <xf numFmtId="165" fontId="6" fillId="13" borderId="5" xfId="6" applyNumberFormat="1" applyFont="1" applyFill="1" applyBorder="1" applyAlignment="1">
      <alignment horizontal="right" vertical="center"/>
    </xf>
    <xf numFmtId="3" fontId="5" fillId="13" borderId="2" xfId="5" applyNumberFormat="1" applyFont="1" applyFill="1" applyBorder="1" applyAlignment="1">
      <alignment horizontal="center" vertical="center"/>
    </xf>
    <xf numFmtId="165" fontId="15" fillId="13" borderId="5" xfId="6" applyNumberFormat="1" applyFont="1" applyFill="1" applyBorder="1" applyAlignment="1">
      <alignment horizontal="right" vertical="center"/>
    </xf>
    <xf numFmtId="165" fontId="7" fillId="13" borderId="15" xfId="5" applyNumberFormat="1" applyFont="1" applyFill="1" applyBorder="1" applyAlignment="1">
      <alignment horizontal="left" vertical="center"/>
    </xf>
    <xf numFmtId="165" fontId="7" fillId="13" borderId="17" xfId="5" applyNumberFormat="1" applyFont="1" applyFill="1" applyBorder="1" applyAlignment="1">
      <alignment horizontal="left" vertical="center"/>
    </xf>
    <xf numFmtId="1" fontId="7" fillId="13" borderId="9" xfId="5" applyNumberFormat="1" applyFont="1" applyFill="1" applyBorder="1" applyAlignment="1">
      <alignment horizontal="center" vertical="center"/>
    </xf>
    <xf numFmtId="3" fontId="5" fillId="13" borderId="9" xfId="5" applyNumberFormat="1" applyFont="1" applyFill="1" applyBorder="1" applyAlignment="1">
      <alignment horizontal="center" vertical="center"/>
    </xf>
    <xf numFmtId="164" fontId="7" fillId="13" borderId="65" xfId="6" applyNumberFormat="1" applyFont="1" applyFill="1" applyBorder="1" applyAlignment="1">
      <alignment horizontal="right" vertical="center"/>
    </xf>
    <xf numFmtId="165" fontId="7" fillId="13" borderId="78" xfId="5" applyNumberFormat="1" applyFont="1" applyFill="1" applyBorder="1" applyAlignment="1">
      <alignment horizontal="left" vertical="center"/>
    </xf>
    <xf numFmtId="165" fontId="27" fillId="13" borderId="12" xfId="1" applyNumberFormat="1" applyFont="1" applyFill="1" applyBorder="1" applyAlignment="1">
      <alignment horizontal="right" vertical="center"/>
    </xf>
    <xf numFmtId="0" fontId="5" fillId="13" borderId="2" xfId="5" applyFont="1" applyFill="1" applyBorder="1" applyAlignment="1">
      <alignment horizontal="center"/>
    </xf>
    <xf numFmtId="165" fontId="7" fillId="13" borderId="5" xfId="6" applyNumberFormat="1" applyFont="1" applyFill="1" applyBorder="1" applyAlignment="1">
      <alignment horizontal="right" vertical="center"/>
    </xf>
    <xf numFmtId="1" fontId="7" fillId="13" borderId="10" xfId="5" applyNumberFormat="1" applyFont="1" applyFill="1" applyBorder="1" applyAlignment="1">
      <alignment horizontal="center" vertical="center"/>
    </xf>
    <xf numFmtId="0" fontId="9" fillId="13" borderId="10" xfId="5" applyFont="1" applyFill="1" applyBorder="1" applyAlignment="1">
      <alignment horizontal="center"/>
    </xf>
    <xf numFmtId="165" fontId="8" fillId="13" borderId="0" xfId="6" applyNumberFormat="1" applyFont="1" applyFill="1" applyBorder="1" applyAlignment="1">
      <alignment horizontal="right" vertical="center"/>
    </xf>
    <xf numFmtId="165" fontId="25" fillId="13" borderId="68" xfId="1" applyNumberFormat="1" applyFont="1" applyFill="1" applyBorder="1" applyAlignment="1">
      <alignment horizontal="right" vertical="center"/>
    </xf>
    <xf numFmtId="0" fontId="16" fillId="13" borderId="2" xfId="5" applyFont="1" applyFill="1" applyBorder="1" applyAlignment="1">
      <alignment horizontal="center"/>
    </xf>
    <xf numFmtId="165" fontId="20" fillId="13" borderId="5" xfId="6" applyNumberFormat="1" applyFont="1" applyFill="1" applyBorder="1" applyAlignment="1">
      <alignment horizontal="right" vertical="center"/>
    </xf>
    <xf numFmtId="3" fontId="5" fillId="13" borderId="10" xfId="5" applyNumberFormat="1" applyFont="1" applyFill="1" applyBorder="1" applyAlignment="1">
      <alignment horizontal="center" vertical="center"/>
    </xf>
    <xf numFmtId="43" fontId="7" fillId="13" borderId="0" xfId="6" applyNumberFormat="1" applyFont="1" applyFill="1" applyBorder="1" applyAlignment="1">
      <alignment horizontal="right" vertical="center"/>
    </xf>
    <xf numFmtId="165" fontId="10" fillId="13" borderId="68" xfId="6" applyNumberFormat="1" applyFont="1" applyFill="1" applyBorder="1" applyAlignment="1">
      <alignment horizontal="right" vertical="center"/>
    </xf>
    <xf numFmtId="0" fontId="9" fillId="13" borderId="2" xfId="5" applyFont="1" applyFill="1" applyBorder="1" applyAlignment="1">
      <alignment horizontal="center"/>
    </xf>
    <xf numFmtId="165" fontId="8" fillId="13" borderId="5" xfId="6" applyNumberFormat="1" applyFont="1" applyFill="1" applyBorder="1" applyAlignment="1">
      <alignment horizontal="right" vertical="center"/>
    </xf>
    <xf numFmtId="0" fontId="27" fillId="0" borderId="0" xfId="7" applyFont="1" applyFill="1" applyBorder="1" applyAlignment="1">
      <alignment horizontal="right" vertical="center"/>
    </xf>
    <xf numFmtId="0" fontId="27" fillId="0" borderId="0" xfId="7" applyFont="1" applyFill="1" applyBorder="1" applyAlignment="1">
      <alignment horizontal="center" vertical="center"/>
    </xf>
    <xf numFmtId="165" fontId="27" fillId="0" borderId="0" xfId="7" applyNumberFormat="1" applyFont="1" applyFill="1" applyBorder="1" applyAlignment="1">
      <alignment horizontal="right" vertical="center"/>
    </xf>
    <xf numFmtId="0" fontId="21" fillId="0" borderId="0" xfId="5" applyFont="1" applyFill="1" applyBorder="1" applyAlignment="1">
      <alignment horizontal="left" vertical="center"/>
    </xf>
    <xf numFmtId="0" fontId="27" fillId="0" borderId="0" xfId="7" applyFont="1" applyFill="1" applyBorder="1" applyAlignment="1">
      <alignment horizontal="left" vertical="center"/>
    </xf>
    <xf numFmtId="0" fontId="20" fillId="0" borderId="0" xfId="5" applyFont="1" applyFill="1" applyBorder="1" applyAlignment="1">
      <alignment horizontal="left" vertical="center"/>
    </xf>
    <xf numFmtId="0" fontId="6" fillId="0" borderId="0" xfId="6" applyNumberFormat="1" applyFont="1" applyFill="1" applyBorder="1" applyAlignment="1">
      <alignment horizontal="left" vertic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7" fillId="0" borderId="0" xfId="0" applyFont="1"/>
    <xf numFmtId="43" fontId="28" fillId="0" borderId="0" xfId="1" applyFont="1" applyFill="1" applyBorder="1" applyAlignment="1">
      <alignment vertical="center"/>
    </xf>
    <xf numFmtId="165" fontId="6" fillId="0" borderId="1" xfId="6" applyNumberFormat="1" applyFont="1" applyFill="1" applyBorder="1" applyAlignment="1">
      <alignment horizontal="center"/>
    </xf>
    <xf numFmtId="0" fontId="10" fillId="0" borderId="1" xfId="5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/>
    </xf>
    <xf numFmtId="0" fontId="5" fillId="0" borderId="1" xfId="5" applyFont="1" applyFill="1" applyBorder="1" applyAlignment="1"/>
    <xf numFmtId="0" fontId="5" fillId="0" borderId="1" xfId="6" applyNumberFormat="1" applyFont="1" applyFill="1" applyBorder="1" applyAlignment="1">
      <alignment horizontal="center"/>
    </xf>
    <xf numFmtId="165" fontId="26" fillId="0" borderId="1" xfId="1" applyNumberFormat="1" applyFont="1" applyFill="1" applyBorder="1" applyAlignment="1">
      <alignment horizontal="right" vertical="center"/>
    </xf>
    <xf numFmtId="165" fontId="7" fillId="0" borderId="1" xfId="5" applyNumberFormat="1" applyFont="1" applyFill="1" applyBorder="1" applyAlignment="1">
      <alignment horizontal="left" vertical="center"/>
    </xf>
    <xf numFmtId="165" fontId="7" fillId="0" borderId="0" xfId="14" applyNumberFormat="1" applyFont="1" applyFill="1" applyBorder="1" applyAlignment="1">
      <alignment horizontal="left" vertical="center"/>
    </xf>
    <xf numFmtId="1" fontId="10" fillId="6" borderId="1" xfId="5" applyNumberFormat="1" applyFont="1" applyFill="1" applyBorder="1" applyAlignment="1">
      <alignment horizontal="center" vertical="center"/>
    </xf>
    <xf numFmtId="1" fontId="10" fillId="6" borderId="1" xfId="5" applyNumberFormat="1" applyFont="1" applyFill="1" applyBorder="1" applyAlignment="1">
      <alignment vertical="center"/>
    </xf>
    <xf numFmtId="165" fontId="6" fillId="6" borderId="1" xfId="6" applyNumberFormat="1" applyFont="1" applyFill="1" applyBorder="1" applyAlignment="1">
      <alignment horizontal="right" vertical="center"/>
    </xf>
    <xf numFmtId="165" fontId="27" fillId="6" borderId="1" xfId="1" applyNumberFormat="1" applyFont="1" applyFill="1" applyBorder="1" applyAlignment="1">
      <alignment horizontal="right" vertical="center"/>
    </xf>
    <xf numFmtId="165" fontId="7" fillId="6" borderId="1" xfId="5" applyNumberFormat="1" applyFont="1" applyFill="1" applyBorder="1" applyAlignment="1">
      <alignment horizontal="left" vertical="center"/>
    </xf>
    <xf numFmtId="165" fontId="10" fillId="6" borderId="1" xfId="5" applyNumberFormat="1" applyFont="1" applyFill="1" applyBorder="1" applyAlignment="1">
      <alignment horizontal="left" vertical="center"/>
    </xf>
    <xf numFmtId="3" fontId="10" fillId="6" borderId="1" xfId="5" applyNumberFormat="1" applyFont="1" applyFill="1" applyBorder="1" applyAlignment="1">
      <alignment horizontal="center" vertical="center"/>
    </xf>
    <xf numFmtId="0" fontId="29" fillId="0" borderId="1" xfId="3" applyFont="1" applyFill="1" applyBorder="1" applyAlignment="1">
      <alignment wrapText="1"/>
    </xf>
    <xf numFmtId="165" fontId="5" fillId="0" borderId="1" xfId="6" applyNumberFormat="1" applyFont="1" applyFill="1" applyBorder="1" applyAlignment="1">
      <alignment vertical="center"/>
    </xf>
    <xf numFmtId="165" fontId="26" fillId="0" borderId="1" xfId="1" applyNumberFormat="1" applyFont="1" applyFill="1" applyBorder="1" applyAlignment="1">
      <alignment vertical="center"/>
    </xf>
    <xf numFmtId="0" fontId="29" fillId="0" borderId="1" xfId="3" applyFont="1" applyFill="1" applyBorder="1" applyAlignment="1">
      <alignment vertical="top" wrapText="1"/>
    </xf>
    <xf numFmtId="165" fontId="10" fillId="6" borderId="1" xfId="6" applyNumberFormat="1" applyFont="1" applyFill="1" applyBorder="1" applyAlignment="1">
      <alignment horizontal="right" vertical="center"/>
    </xf>
    <xf numFmtId="168" fontId="10" fillId="6" borderId="1" xfId="5" applyNumberFormat="1" applyFont="1" applyFill="1" applyBorder="1" applyAlignment="1">
      <alignment horizontal="left" vertical="center"/>
    </xf>
    <xf numFmtId="168" fontId="10" fillId="6" borderId="1" xfId="5" applyNumberFormat="1" applyFont="1" applyFill="1" applyBorder="1" applyAlignment="1">
      <alignment horizontal="right" vertical="center"/>
    </xf>
    <xf numFmtId="3" fontId="10" fillId="6" borderId="1" xfId="5" applyNumberFormat="1" applyFont="1" applyFill="1" applyBorder="1" applyAlignment="1">
      <alignment horizontal="right" vertical="center"/>
    </xf>
    <xf numFmtId="1" fontId="7" fillId="6" borderId="1" xfId="5" applyNumberFormat="1" applyFont="1" applyFill="1" applyBorder="1" applyAlignment="1">
      <alignment horizontal="center" vertical="center"/>
    </xf>
    <xf numFmtId="0" fontId="5" fillId="6" borderId="1" xfId="5" applyFont="1" applyFill="1" applyBorder="1" applyAlignment="1">
      <alignment horizontal="center" vertical="center"/>
    </xf>
    <xf numFmtId="165" fontId="5" fillId="6" borderId="1" xfId="6" applyNumberFormat="1" applyFont="1" applyFill="1" applyBorder="1" applyAlignment="1">
      <alignment horizontal="right" vertical="center"/>
    </xf>
    <xf numFmtId="165" fontId="13" fillId="6" borderId="1" xfId="6" applyNumberFormat="1" applyFont="1" applyFill="1" applyBorder="1" applyAlignment="1">
      <alignment horizontal="right" vertical="center"/>
    </xf>
    <xf numFmtId="0" fontId="6" fillId="6" borderId="1" xfId="5" applyFont="1" applyFill="1" applyBorder="1" applyAlignment="1">
      <alignment horizontal="center"/>
    </xf>
    <xf numFmtId="165" fontId="26" fillId="6" borderId="1" xfId="1" applyNumberFormat="1" applyFont="1" applyFill="1" applyBorder="1" applyAlignment="1">
      <alignment horizontal="right" vertical="center"/>
    </xf>
    <xf numFmtId="3" fontId="5" fillId="6" borderId="1" xfId="5" applyNumberFormat="1" applyFont="1" applyFill="1" applyBorder="1" applyAlignment="1">
      <alignment horizontal="center" vertical="center"/>
    </xf>
    <xf numFmtId="165" fontId="15" fillId="6" borderId="1" xfId="6" applyNumberFormat="1" applyFont="1" applyFill="1" applyBorder="1" applyAlignment="1">
      <alignment horizontal="right" vertical="center"/>
    </xf>
    <xf numFmtId="165" fontId="14" fillId="6" borderId="1" xfId="6" applyNumberFormat="1" applyFont="1" applyFill="1" applyBorder="1" applyAlignment="1">
      <alignment horizontal="right" vertical="center"/>
    </xf>
    <xf numFmtId="164" fontId="7" fillId="6" borderId="1" xfId="6" applyNumberFormat="1" applyFont="1" applyFill="1" applyBorder="1" applyAlignment="1">
      <alignment horizontal="right" vertical="center"/>
    </xf>
    <xf numFmtId="0" fontId="5" fillId="6" borderId="1" xfId="5" applyFont="1" applyFill="1" applyBorder="1" applyAlignment="1">
      <alignment horizontal="center"/>
    </xf>
    <xf numFmtId="165" fontId="7" fillId="6" borderId="1" xfId="6" applyNumberFormat="1" applyFont="1" applyFill="1" applyBorder="1" applyAlignment="1">
      <alignment horizontal="right" vertical="center"/>
    </xf>
    <xf numFmtId="0" fontId="9" fillId="6" borderId="1" xfId="5" applyFont="1" applyFill="1" applyBorder="1" applyAlignment="1">
      <alignment horizontal="center"/>
    </xf>
    <xf numFmtId="165" fontId="8" fillId="6" borderId="1" xfId="6" applyNumberFormat="1" applyFont="1" applyFill="1" applyBorder="1" applyAlignment="1">
      <alignment horizontal="right" vertical="center"/>
    </xf>
    <xf numFmtId="165" fontId="9" fillId="6" borderId="1" xfId="6" applyNumberFormat="1" applyFont="1" applyFill="1" applyBorder="1" applyAlignment="1">
      <alignment horizontal="right" vertical="center"/>
    </xf>
    <xf numFmtId="165" fontId="25" fillId="6" borderId="1" xfId="1" applyNumberFormat="1" applyFont="1" applyFill="1" applyBorder="1" applyAlignment="1">
      <alignment horizontal="right" vertical="center"/>
    </xf>
    <xf numFmtId="0" fontId="16" fillId="6" borderId="1" xfId="5" applyFont="1" applyFill="1" applyBorder="1" applyAlignment="1">
      <alignment horizontal="center"/>
    </xf>
    <xf numFmtId="165" fontId="20" fillId="6" borderId="1" xfId="6" applyNumberFormat="1" applyFont="1" applyFill="1" applyBorder="1" applyAlignment="1">
      <alignment horizontal="right" vertical="center"/>
    </xf>
    <xf numFmtId="43" fontId="7" fillId="6" borderId="1" xfId="6" applyNumberFormat="1" applyFont="1" applyFill="1" applyBorder="1" applyAlignment="1">
      <alignment horizontal="right" vertical="center"/>
    </xf>
    <xf numFmtId="0" fontId="7" fillId="6" borderId="1" xfId="5" applyFont="1" applyFill="1" applyBorder="1" applyAlignment="1">
      <alignment horizontal="left" vertical="center"/>
    </xf>
    <xf numFmtId="165" fontId="6" fillId="6" borderId="1" xfId="14" applyNumberFormat="1" applyFont="1" applyFill="1" applyBorder="1" applyAlignment="1">
      <alignment horizontal="right" vertical="center"/>
    </xf>
    <xf numFmtId="0" fontId="47" fillId="0" borderId="0" xfId="7" applyFont="1" applyFill="1" applyBorder="1" applyAlignment="1">
      <alignment horizontal="center" vertical="center"/>
    </xf>
    <xf numFmtId="165" fontId="47" fillId="0" borderId="0" xfId="7" applyNumberFormat="1" applyFont="1" applyFill="1" applyBorder="1" applyAlignment="1">
      <alignment horizontal="right" vertical="center"/>
    </xf>
    <xf numFmtId="164" fontId="47" fillId="0" borderId="0" xfId="11" applyNumberFormat="1" applyFont="1" applyFill="1" applyBorder="1" applyAlignment="1">
      <alignment horizontal="right" vertical="center"/>
    </xf>
    <xf numFmtId="165" fontId="48" fillId="0" borderId="0" xfId="7" applyNumberFormat="1" applyFont="1" applyFill="1" applyBorder="1" applyAlignment="1">
      <alignment horizontal="right" vertical="center"/>
    </xf>
    <xf numFmtId="165" fontId="48" fillId="0" borderId="0" xfId="12" applyNumberFormat="1" applyFont="1" applyFill="1" applyBorder="1" applyAlignment="1">
      <alignment horizontal="right" vertical="center"/>
    </xf>
    <xf numFmtId="0" fontId="49" fillId="0" borderId="0" xfId="5" applyFont="1" applyFill="1" applyBorder="1" applyAlignment="1">
      <alignment horizontal="left" vertical="center"/>
    </xf>
    <xf numFmtId="0" fontId="49" fillId="0" borderId="0" xfId="5" applyFont="1" applyFill="1" applyBorder="1" applyAlignment="1">
      <alignment horizontal="right" vertical="center"/>
    </xf>
    <xf numFmtId="165" fontId="49" fillId="0" borderId="0" xfId="5" applyNumberFormat="1" applyFont="1" applyFill="1" applyBorder="1" applyAlignment="1">
      <alignment horizontal="left" vertical="center"/>
    </xf>
    <xf numFmtId="165" fontId="26" fillId="0" borderId="0" xfId="14" applyNumberFormat="1" applyFont="1" applyFill="1" applyBorder="1" applyAlignment="1">
      <alignment horizontal="left" vertical="center"/>
    </xf>
    <xf numFmtId="168" fontId="15" fillId="0" borderId="0" xfId="5" applyNumberFormat="1" applyFont="1" applyFill="1" applyBorder="1" applyAlignment="1">
      <alignment horizontal="left" vertical="center"/>
    </xf>
    <xf numFmtId="165" fontId="11" fillId="0" borderId="0" xfId="5" applyNumberFormat="1" applyFont="1" applyFill="1" applyBorder="1" applyAlignment="1">
      <alignment horizontal="left" vertical="center"/>
    </xf>
    <xf numFmtId="0" fontId="50" fillId="0" borderId="0" xfId="5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center" vertical="center" wrapText="1"/>
    </xf>
    <xf numFmtId="165" fontId="50" fillId="0" borderId="0" xfId="0" applyNumberFormat="1" applyFont="1" applyFill="1" applyBorder="1" applyAlignment="1">
      <alignment horizontal="center" vertical="center" wrapText="1"/>
    </xf>
    <xf numFmtId="165" fontId="51" fillId="0" borderId="0" xfId="6" applyNumberFormat="1" applyFont="1" applyFill="1" applyBorder="1" applyAlignment="1">
      <alignment horizontal="center"/>
    </xf>
    <xf numFmtId="0" fontId="50" fillId="0" borderId="0" xfId="6" applyNumberFormat="1" applyFont="1" applyFill="1" applyBorder="1" applyAlignment="1">
      <alignment horizontal="center"/>
    </xf>
    <xf numFmtId="165" fontId="50" fillId="0" borderId="0" xfId="5" applyNumberFormat="1" applyFont="1" applyFill="1" applyBorder="1" applyAlignment="1">
      <alignment horizontal="left" vertical="center"/>
    </xf>
    <xf numFmtId="1" fontId="50" fillId="0" borderId="0" xfId="5" applyNumberFormat="1" applyFont="1" applyFill="1" applyBorder="1" applyAlignment="1">
      <alignment horizontal="left" vertical="center"/>
    </xf>
    <xf numFmtId="165" fontId="50" fillId="0" borderId="0" xfId="14" applyNumberFormat="1" applyFont="1" applyFill="1" applyBorder="1" applyAlignment="1">
      <alignment horizontal="left" vertical="center"/>
    </xf>
    <xf numFmtId="0" fontId="50" fillId="0" borderId="0" xfId="7" applyFont="1" applyFill="1" applyBorder="1" applyAlignment="1">
      <alignment horizontal="left" vertical="center"/>
    </xf>
    <xf numFmtId="0" fontId="51" fillId="0" borderId="0" xfId="7" applyFont="1" applyFill="1" applyBorder="1" applyAlignment="1">
      <alignment vertical="center"/>
    </xf>
    <xf numFmtId="165" fontId="36" fillId="0" borderId="55" xfId="6" applyNumberFormat="1" applyFont="1" applyFill="1" applyBorder="1" applyAlignment="1">
      <alignment horizontal="right" vertical="center"/>
    </xf>
    <xf numFmtId="0" fontId="37" fillId="0" borderId="14" xfId="5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164" fontId="46" fillId="0" borderId="0" xfId="6" applyNumberFormat="1" applyFont="1" applyFill="1" applyBorder="1" applyAlignment="1">
      <alignment horizontal="right" vertical="center"/>
    </xf>
    <xf numFmtId="1" fontId="37" fillId="0" borderId="11" xfId="5" applyNumberFormat="1" applyFont="1" applyFill="1" applyBorder="1" applyAlignment="1">
      <alignment horizontal="center" vertical="center"/>
    </xf>
    <xf numFmtId="3" fontId="37" fillId="0" borderId="52" xfId="5" applyNumberFormat="1" applyFont="1" applyFill="1" applyBorder="1" applyAlignment="1">
      <alignment horizontal="center" vertical="center"/>
    </xf>
    <xf numFmtId="165" fontId="19" fillId="2" borderId="23" xfId="5" applyNumberFormat="1" applyFont="1" applyFill="1" applyBorder="1" applyAlignment="1">
      <alignment horizontal="left" vertical="center"/>
    </xf>
    <xf numFmtId="0" fontId="11" fillId="2" borderId="0" xfId="0" applyFont="1" applyFill="1" applyAlignment="1">
      <alignment vertical="center" wrapText="1"/>
    </xf>
    <xf numFmtId="165" fontId="50" fillId="0" borderId="0" xfId="6" applyNumberFormat="1" applyFont="1" applyFill="1" applyBorder="1" applyAlignment="1">
      <alignment horizontal="right" vertical="center"/>
    </xf>
    <xf numFmtId="164" fontId="50" fillId="0" borderId="0" xfId="6" applyNumberFormat="1" applyFont="1" applyFill="1" applyBorder="1" applyAlignment="1">
      <alignment horizontal="right" vertical="center"/>
    </xf>
    <xf numFmtId="0" fontId="37" fillId="0" borderId="14" xfId="5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0" fontId="7" fillId="2" borderId="0" xfId="5" applyFont="1" applyFill="1" applyBorder="1" applyAlignment="1">
      <alignment horizontal="right" vertical="center"/>
    </xf>
    <xf numFmtId="0" fontId="6" fillId="2" borderId="0" xfId="5" applyFont="1" applyFill="1" applyBorder="1" applyAlignment="1">
      <alignment horizontal="left"/>
    </xf>
    <xf numFmtId="0" fontId="10" fillId="2" borderId="0" xfId="5" applyFont="1" applyFill="1" applyBorder="1" applyAlignment="1">
      <alignment horizontal="right" vertical="center" wrapText="1"/>
    </xf>
    <xf numFmtId="165" fontId="7" fillId="0" borderId="0" xfId="5" applyNumberFormat="1" applyFont="1" applyFill="1" applyBorder="1" applyAlignment="1">
      <alignment horizontal="center" vertical="center"/>
    </xf>
    <xf numFmtId="165" fontId="6" fillId="5" borderId="16" xfId="6" applyNumberFormat="1" applyFont="1" applyFill="1" applyBorder="1" applyAlignment="1">
      <alignment horizontal="center" vertical="center"/>
    </xf>
    <xf numFmtId="165" fontId="6" fillId="5" borderId="17" xfId="6" applyNumberFormat="1" applyFont="1" applyFill="1" applyBorder="1" applyAlignment="1">
      <alignment horizontal="center" vertical="center"/>
    </xf>
    <xf numFmtId="0" fontId="6" fillId="0" borderId="15" xfId="5" applyFont="1" applyFill="1" applyBorder="1" applyAlignment="1">
      <alignment horizontal="center" vertical="center"/>
    </xf>
    <xf numFmtId="0" fontId="6" fillId="0" borderId="25" xfId="5" applyFont="1" applyFill="1" applyBorder="1" applyAlignment="1">
      <alignment horizontal="center" vertical="center"/>
    </xf>
    <xf numFmtId="0" fontId="6" fillId="0" borderId="16" xfId="5" applyFont="1" applyFill="1" applyBorder="1" applyAlignment="1">
      <alignment horizontal="center" vertical="center" wrapText="1"/>
    </xf>
    <xf numFmtId="0" fontId="6" fillId="0" borderId="3" xfId="5" applyFont="1" applyFill="1" applyBorder="1" applyAlignment="1">
      <alignment horizontal="center" vertical="center" wrapText="1"/>
    </xf>
    <xf numFmtId="165" fontId="6" fillId="0" borderId="16" xfId="6" applyNumberFormat="1" applyFont="1" applyFill="1" applyBorder="1" applyAlignment="1">
      <alignment horizontal="center" wrapText="1"/>
    </xf>
    <xf numFmtId="165" fontId="6" fillId="0" borderId="3" xfId="6" applyNumberFormat="1" applyFont="1" applyFill="1" applyBorder="1" applyAlignment="1">
      <alignment horizontal="center" wrapText="1"/>
    </xf>
    <xf numFmtId="165" fontId="6" fillId="0" borderId="16" xfId="6" applyNumberFormat="1" applyFont="1" applyFill="1" applyBorder="1" applyAlignment="1">
      <alignment horizontal="center" vertical="center"/>
    </xf>
    <xf numFmtId="165" fontId="6" fillId="3" borderId="16" xfId="6" applyNumberFormat="1" applyFont="1" applyFill="1" applyBorder="1" applyAlignment="1">
      <alignment horizontal="center" vertical="center"/>
    </xf>
    <xf numFmtId="165" fontId="6" fillId="4" borderId="16" xfId="6" applyNumberFormat="1" applyFont="1" applyFill="1" applyBorder="1" applyAlignment="1">
      <alignment horizontal="center" vertical="center"/>
    </xf>
    <xf numFmtId="0" fontId="6" fillId="2" borderId="0" xfId="5" applyFont="1" applyFill="1" applyBorder="1" applyAlignment="1">
      <alignment horizontal="center" vertical="center"/>
    </xf>
    <xf numFmtId="0" fontId="7" fillId="2" borderId="0" xfId="5" applyFont="1" applyFill="1" applyBorder="1" applyAlignment="1">
      <alignment horizontal="center" vertical="center"/>
    </xf>
    <xf numFmtId="0" fontId="6" fillId="6" borderId="1" xfId="5" applyFont="1" applyFill="1" applyBorder="1" applyAlignment="1">
      <alignment horizontal="left" vertical="top"/>
    </xf>
    <xf numFmtId="0" fontId="6" fillId="6" borderId="1" xfId="5" applyFont="1" applyFill="1" applyBorder="1" applyAlignment="1">
      <alignment horizontal="center" vertical="center"/>
    </xf>
    <xf numFmtId="3" fontId="5" fillId="6" borderId="1" xfId="5" applyNumberFormat="1" applyFont="1" applyFill="1" applyBorder="1" applyAlignment="1">
      <alignment horizontal="center" vertical="center"/>
    </xf>
    <xf numFmtId="3" fontId="6" fillId="6" borderId="1" xfId="5" applyNumberFormat="1" applyFont="1" applyFill="1" applyBorder="1" applyAlignment="1">
      <alignment horizontal="right" vertical="center"/>
    </xf>
    <xf numFmtId="3" fontId="7" fillId="0" borderId="1" xfId="5" applyNumberFormat="1" applyFont="1" applyFill="1" applyBorder="1" applyAlignment="1">
      <alignment horizontal="left" vertical="center" wrapText="1"/>
    </xf>
    <xf numFmtId="3" fontId="10" fillId="6" borderId="1" xfId="5" applyNumberFormat="1" applyFont="1" applyFill="1" applyBorder="1" applyAlignment="1">
      <alignment horizontal="right" vertical="center" wrapText="1"/>
    </xf>
    <xf numFmtId="0" fontId="5" fillId="0" borderId="1" xfId="5" applyFont="1" applyFill="1" applyBorder="1" applyAlignment="1">
      <alignment horizontal="left" vertical="center" wrapText="1"/>
    </xf>
    <xf numFmtId="3" fontId="5" fillId="0" borderId="1" xfId="5" applyNumberFormat="1" applyFont="1" applyFill="1" applyBorder="1" applyAlignment="1">
      <alignment horizontal="left" vertical="center"/>
    </xf>
    <xf numFmtId="0" fontId="5" fillId="0" borderId="1" xfId="7" applyFont="1" applyFill="1" applyBorder="1" applyAlignment="1">
      <alignment horizontal="left" vertical="center" wrapText="1"/>
    </xf>
    <xf numFmtId="0" fontId="5" fillId="0" borderId="1" xfId="5" applyFont="1" applyFill="1" applyBorder="1" applyAlignment="1">
      <alignment horizontal="left" wrapText="1"/>
    </xf>
    <xf numFmtId="3" fontId="10" fillId="6" borderId="1" xfId="5" applyNumberFormat="1" applyFont="1" applyFill="1" applyBorder="1" applyAlignment="1">
      <alignment horizontal="center" vertical="center" wrapText="1"/>
    </xf>
    <xf numFmtId="0" fontId="6" fillId="6" borderId="1" xfId="5" applyFont="1" applyFill="1" applyBorder="1" applyAlignment="1">
      <alignment horizontal="right"/>
    </xf>
    <xf numFmtId="1" fontId="7" fillId="0" borderId="1" xfId="5" applyNumberFormat="1" applyFont="1" applyFill="1" applyBorder="1" applyAlignment="1">
      <alignment horizontal="center" vertical="center"/>
    </xf>
    <xf numFmtId="3" fontId="7" fillId="0" borderId="1" xfId="5" applyNumberFormat="1" applyFont="1" applyFill="1" applyBorder="1" applyAlignment="1">
      <alignment horizontal="center" vertical="center" wrapText="1"/>
    </xf>
    <xf numFmtId="168" fontId="10" fillId="6" borderId="1" xfId="5" applyNumberFormat="1" applyFont="1" applyFill="1" applyBorder="1" applyAlignment="1">
      <alignment horizontal="right" vertical="center"/>
    </xf>
    <xf numFmtId="0" fontId="6" fillId="6" borderId="1" xfId="5" applyFont="1" applyFill="1" applyBorder="1" applyAlignment="1">
      <alignment horizontal="right" vertical="center" wrapText="1"/>
    </xf>
    <xf numFmtId="0" fontId="10" fillId="0" borderId="1" xfId="5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/>
    </xf>
    <xf numFmtId="1" fontId="10" fillId="6" borderId="1" xfId="5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 wrapText="1"/>
    </xf>
    <xf numFmtId="0" fontId="4" fillId="2" borderId="0" xfId="5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/>
    </xf>
    <xf numFmtId="0" fontId="6" fillId="0" borderId="1" xfId="5" applyFont="1" applyFill="1" applyBorder="1" applyAlignment="1">
      <alignment horizontal="center" vertical="center" wrapText="1"/>
    </xf>
    <xf numFmtId="165" fontId="6" fillId="0" borderId="1" xfId="6" applyNumberFormat="1" applyFont="1" applyFill="1" applyBorder="1" applyAlignment="1">
      <alignment horizontal="center" vertical="center" wrapText="1"/>
    </xf>
    <xf numFmtId="165" fontId="6" fillId="0" borderId="1" xfId="6" applyNumberFormat="1" applyFont="1" applyFill="1" applyBorder="1" applyAlignment="1">
      <alignment horizontal="center" vertical="center"/>
    </xf>
    <xf numFmtId="43" fontId="28" fillId="0" borderId="46" xfId="1" applyFont="1" applyFill="1" applyBorder="1" applyAlignment="1">
      <alignment horizontal="right" vertical="center"/>
    </xf>
    <xf numFmtId="3" fontId="5" fillId="13" borderId="73" xfId="5" applyNumberFormat="1" applyFont="1" applyFill="1" applyBorder="1" applyAlignment="1">
      <alignment horizontal="center" vertical="center"/>
    </xf>
    <xf numFmtId="3" fontId="5" fillId="13" borderId="63" xfId="5" applyNumberFormat="1" applyFont="1" applyFill="1" applyBorder="1" applyAlignment="1">
      <alignment horizontal="center" vertical="center"/>
    </xf>
    <xf numFmtId="0" fontId="6" fillId="13" borderId="14" xfId="5" applyFont="1" applyFill="1" applyBorder="1" applyAlignment="1">
      <alignment horizontal="center" vertical="center"/>
    </xf>
    <xf numFmtId="0" fontId="6" fillId="13" borderId="55" xfId="5" applyFont="1" applyFill="1" applyBorder="1" applyAlignment="1">
      <alignment horizontal="center" vertical="center"/>
    </xf>
    <xf numFmtId="0" fontId="6" fillId="2" borderId="0" xfId="5" applyFont="1" applyFill="1" applyBorder="1" applyAlignment="1">
      <alignment horizontal="center" vertical="center" wrapText="1"/>
    </xf>
    <xf numFmtId="3" fontId="6" fillId="13" borderId="31" xfId="5" applyNumberFormat="1" applyFont="1" applyFill="1" applyBorder="1" applyAlignment="1">
      <alignment horizontal="right" vertical="center"/>
    </xf>
    <xf numFmtId="3" fontId="6" fillId="13" borderId="49" xfId="5" applyNumberFormat="1" applyFont="1" applyFill="1" applyBorder="1" applyAlignment="1">
      <alignment horizontal="right" vertical="center"/>
    </xf>
    <xf numFmtId="0" fontId="6" fillId="13" borderId="14" xfId="5" applyFont="1" applyFill="1" applyBorder="1" applyAlignment="1">
      <alignment horizontal="center"/>
    </xf>
    <xf numFmtId="0" fontId="6" fillId="13" borderId="55" xfId="5" applyFont="1" applyFill="1" applyBorder="1" applyAlignment="1">
      <alignment horizontal="center"/>
    </xf>
    <xf numFmtId="0" fontId="6" fillId="13" borderId="73" xfId="5" applyFont="1" applyFill="1" applyBorder="1" applyAlignment="1">
      <alignment horizontal="center" vertical="center"/>
    </xf>
    <xf numFmtId="0" fontId="6" fillId="13" borderId="63" xfId="5" applyFont="1" applyFill="1" applyBorder="1" applyAlignment="1">
      <alignment horizontal="center" vertical="center"/>
    </xf>
    <xf numFmtId="0" fontId="5" fillId="0" borderId="35" xfId="5" applyFont="1" applyFill="1" applyBorder="1" applyAlignment="1">
      <alignment horizontal="left" vertical="center" wrapText="1"/>
    </xf>
    <xf numFmtId="0" fontId="5" fillId="0" borderId="32" xfId="5" applyFont="1" applyFill="1" applyBorder="1" applyAlignment="1">
      <alignment horizontal="left" vertical="center" wrapText="1"/>
    </xf>
    <xf numFmtId="3" fontId="6" fillId="13" borderId="14" xfId="5" applyNumberFormat="1" applyFont="1" applyFill="1" applyBorder="1" applyAlignment="1">
      <alignment horizontal="right" vertical="center"/>
    </xf>
    <xf numFmtId="3" fontId="6" fillId="13" borderId="55" xfId="5" applyNumberFormat="1" applyFont="1" applyFill="1" applyBorder="1" applyAlignment="1">
      <alignment horizontal="right" vertical="center"/>
    </xf>
    <xf numFmtId="3" fontId="7" fillId="0" borderId="47" xfId="5" applyNumberFormat="1" applyFont="1" applyFill="1" applyBorder="1" applyAlignment="1">
      <alignment horizontal="left" vertical="center" wrapText="1"/>
    </xf>
    <xf numFmtId="3" fontId="7" fillId="0" borderId="64" xfId="5" applyNumberFormat="1" applyFont="1" applyFill="1" applyBorder="1" applyAlignment="1">
      <alignment horizontal="left" vertical="center" wrapText="1"/>
    </xf>
    <xf numFmtId="0" fontId="5" fillId="0" borderId="47" xfId="7" applyFont="1" applyFill="1" applyBorder="1" applyAlignment="1">
      <alignment horizontal="left" vertical="center" wrapText="1"/>
    </xf>
    <xf numFmtId="0" fontId="5" fillId="0" borderId="64" xfId="7" applyFont="1" applyFill="1" applyBorder="1" applyAlignment="1">
      <alignment horizontal="left" vertical="center" wrapText="1"/>
    </xf>
    <xf numFmtId="0" fontId="5" fillId="0" borderId="47" xfId="5" applyFont="1" applyFill="1" applyBorder="1" applyAlignment="1">
      <alignment horizontal="left" wrapText="1"/>
    </xf>
    <xf numFmtId="0" fontId="5" fillId="0" borderId="64" xfId="5" applyFont="1" applyFill="1" applyBorder="1" applyAlignment="1">
      <alignment horizontal="left" wrapText="1"/>
    </xf>
    <xf numFmtId="0" fontId="5" fillId="0" borderId="36" xfId="5" applyFont="1" applyFill="1" applyBorder="1" applyAlignment="1">
      <alignment horizontal="left" vertical="center" wrapText="1"/>
    </xf>
    <xf numFmtId="0" fontId="5" fillId="0" borderId="34" xfId="5" applyFont="1" applyFill="1" applyBorder="1" applyAlignment="1">
      <alignment horizontal="left" vertical="center" wrapText="1"/>
    </xf>
    <xf numFmtId="3" fontId="10" fillId="13" borderId="14" xfId="5" applyNumberFormat="1" applyFont="1" applyFill="1" applyBorder="1" applyAlignment="1">
      <alignment horizontal="right" vertical="center" wrapText="1"/>
    </xf>
    <xf numFmtId="3" fontId="10" fillId="13" borderId="55" xfId="5" applyNumberFormat="1" applyFont="1" applyFill="1" applyBorder="1" applyAlignment="1">
      <alignment horizontal="right" vertical="center" wrapText="1"/>
    </xf>
    <xf numFmtId="168" fontId="10" fillId="13" borderId="14" xfId="5" applyNumberFormat="1" applyFont="1" applyFill="1" applyBorder="1" applyAlignment="1">
      <alignment horizontal="right" vertical="center"/>
    </xf>
    <xf numFmtId="168" fontId="10" fillId="13" borderId="55" xfId="5" applyNumberFormat="1" applyFont="1" applyFill="1" applyBorder="1" applyAlignment="1">
      <alignment horizontal="right" vertical="center"/>
    </xf>
    <xf numFmtId="3" fontId="7" fillId="0" borderId="36" xfId="5" applyNumberFormat="1" applyFont="1" applyFill="1" applyBorder="1" applyAlignment="1">
      <alignment horizontal="left" vertical="center" wrapText="1"/>
    </xf>
    <xf numFmtId="3" fontId="7" fillId="0" borderId="34" xfId="5" applyNumberFormat="1" applyFont="1" applyFill="1" applyBorder="1" applyAlignment="1">
      <alignment horizontal="left" vertical="center" wrapText="1"/>
    </xf>
    <xf numFmtId="3" fontId="10" fillId="13" borderId="31" xfId="5" applyNumberFormat="1" applyFont="1" applyFill="1" applyBorder="1" applyAlignment="1">
      <alignment horizontal="right" vertical="center" wrapText="1"/>
    </xf>
    <xf numFmtId="3" fontId="10" fillId="13" borderId="49" xfId="5" applyNumberFormat="1" applyFont="1" applyFill="1" applyBorder="1" applyAlignment="1">
      <alignment horizontal="right" vertical="center" wrapText="1"/>
    </xf>
    <xf numFmtId="0" fontId="10" fillId="13" borderId="15" xfId="5" applyFont="1" applyFill="1" applyBorder="1" applyAlignment="1">
      <alignment horizontal="center" vertical="center"/>
    </xf>
    <xf numFmtId="0" fontId="10" fillId="13" borderId="17" xfId="5" applyFont="1" applyFill="1" applyBorder="1" applyAlignment="1">
      <alignment horizontal="center" vertical="center"/>
    </xf>
    <xf numFmtId="0" fontId="5" fillId="0" borderId="14" xfId="5" applyFont="1" applyFill="1" applyBorder="1" applyAlignment="1">
      <alignment horizontal="center"/>
    </xf>
    <xf numFmtId="0" fontId="5" fillId="0" borderId="55" xfId="5" applyFont="1" applyFill="1" applyBorder="1" applyAlignment="1">
      <alignment horizontal="center"/>
    </xf>
    <xf numFmtId="3" fontId="7" fillId="0" borderId="35" xfId="5" applyNumberFormat="1" applyFont="1" applyFill="1" applyBorder="1" applyAlignment="1">
      <alignment horizontal="left" vertical="center" wrapText="1"/>
    </xf>
    <xf numFmtId="3" fontId="7" fillId="0" borderId="32" xfId="5" applyNumberFormat="1" applyFont="1" applyFill="1" applyBorder="1" applyAlignment="1">
      <alignment horizontal="left" vertical="center" wrapText="1"/>
    </xf>
    <xf numFmtId="1" fontId="10" fillId="13" borderId="14" xfId="5" applyNumberFormat="1" applyFont="1" applyFill="1" applyBorder="1" applyAlignment="1">
      <alignment horizontal="right" vertical="center"/>
    </xf>
    <xf numFmtId="1" fontId="10" fillId="13" borderId="55" xfId="5" applyNumberFormat="1" applyFont="1" applyFill="1" applyBorder="1" applyAlignment="1">
      <alignment horizontal="right" vertical="center"/>
    </xf>
    <xf numFmtId="0" fontId="6" fillId="0" borderId="28" xfId="5" applyFont="1" applyFill="1" applyBorder="1" applyAlignment="1">
      <alignment horizontal="center" vertical="center"/>
    </xf>
    <xf numFmtId="0" fontId="6" fillId="0" borderId="30" xfId="5" applyFont="1" applyFill="1" applyBorder="1" applyAlignment="1">
      <alignment horizontal="center" vertical="center"/>
    </xf>
    <xf numFmtId="0" fontId="6" fillId="0" borderId="31" xfId="5" applyFont="1" applyFill="1" applyBorder="1" applyAlignment="1">
      <alignment horizontal="center" vertical="center"/>
    </xf>
    <xf numFmtId="0" fontId="6" fillId="0" borderId="49" xfId="5" applyFont="1" applyFill="1" applyBorder="1" applyAlignment="1">
      <alignment horizontal="center" vertical="center"/>
    </xf>
    <xf numFmtId="0" fontId="6" fillId="0" borderId="52" xfId="5" applyFont="1" applyFill="1" applyBorder="1" applyAlignment="1">
      <alignment horizontal="center" vertical="center"/>
    </xf>
    <xf numFmtId="0" fontId="6" fillId="0" borderId="53" xfId="5" applyFont="1" applyFill="1" applyBorder="1" applyAlignment="1">
      <alignment horizontal="center" vertical="center"/>
    </xf>
    <xf numFmtId="0" fontId="6" fillId="0" borderId="9" xfId="5" applyFont="1" applyFill="1" applyBorder="1" applyAlignment="1">
      <alignment horizontal="center" vertical="center" wrapText="1"/>
    </xf>
    <xf numFmtId="0" fontId="6" fillId="0" borderId="11" xfId="5" applyFont="1" applyFill="1" applyBorder="1" applyAlignment="1">
      <alignment horizontal="center" vertical="center" wrapText="1"/>
    </xf>
    <xf numFmtId="165" fontId="6" fillId="0" borderId="38" xfId="6" applyNumberFormat="1" applyFont="1" applyFill="1" applyBorder="1" applyAlignment="1">
      <alignment horizontal="center" vertical="center" wrapText="1"/>
    </xf>
    <xf numFmtId="165" fontId="6" fillId="0" borderId="44" xfId="6" applyNumberFormat="1" applyFont="1" applyFill="1" applyBorder="1" applyAlignment="1">
      <alignment horizontal="center" vertical="center" wrapText="1"/>
    </xf>
    <xf numFmtId="0" fontId="4" fillId="2" borderId="0" xfId="5" applyFont="1" applyFill="1" applyBorder="1" applyAlignment="1">
      <alignment horizontal="center" vertical="center"/>
    </xf>
    <xf numFmtId="0" fontId="10" fillId="9" borderId="31" xfId="5" applyFont="1" applyFill="1" applyBorder="1" applyAlignment="1">
      <alignment horizontal="center" vertical="center"/>
    </xf>
    <xf numFmtId="0" fontId="10" fillId="9" borderId="49" xfId="5" applyFont="1" applyFill="1" applyBorder="1" applyAlignment="1">
      <alignment horizontal="center" vertical="center"/>
    </xf>
    <xf numFmtId="0" fontId="10" fillId="10" borderId="14" xfId="5" applyFont="1" applyFill="1" applyBorder="1" applyAlignment="1">
      <alignment horizontal="center" vertical="center"/>
    </xf>
    <xf numFmtId="0" fontId="10" fillId="10" borderId="55" xfId="5" applyFont="1" applyFill="1" applyBorder="1" applyAlignment="1">
      <alignment horizontal="center" vertical="center"/>
    </xf>
    <xf numFmtId="0" fontId="10" fillId="13" borderId="15" xfId="5" applyFont="1" applyFill="1" applyBorder="1" applyAlignment="1">
      <alignment horizontal="center" vertical="center" wrapText="1"/>
    </xf>
    <xf numFmtId="0" fontId="10" fillId="13" borderId="50" xfId="5" applyFont="1" applyFill="1" applyBorder="1" applyAlignment="1">
      <alignment horizontal="center" vertical="center" wrapText="1"/>
    </xf>
    <xf numFmtId="0" fontId="10" fillId="8" borderId="15" xfId="5" applyFont="1" applyFill="1" applyBorder="1" applyAlignment="1">
      <alignment horizontal="center" vertical="center"/>
    </xf>
    <xf numFmtId="0" fontId="10" fillId="8" borderId="17" xfId="5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6" fillId="6" borderId="14" xfId="5" applyFont="1" applyFill="1" applyBorder="1" applyAlignment="1">
      <alignment horizontal="center" vertical="center"/>
    </xf>
    <xf numFmtId="0" fontId="6" fillId="6" borderId="55" xfId="5" applyFont="1" applyFill="1" applyBorder="1" applyAlignment="1">
      <alignment horizontal="center" vertical="center"/>
    </xf>
    <xf numFmtId="3" fontId="10" fillId="6" borderId="14" xfId="5" applyNumberFormat="1" applyFont="1" applyFill="1" applyBorder="1" applyAlignment="1">
      <alignment horizontal="right" vertical="center" wrapText="1"/>
    </xf>
    <xf numFmtId="3" fontId="10" fillId="6" borderId="55" xfId="5" applyNumberFormat="1" applyFont="1" applyFill="1" applyBorder="1" applyAlignment="1">
      <alignment horizontal="right" vertical="center" wrapText="1"/>
    </xf>
    <xf numFmtId="3" fontId="5" fillId="0" borderId="47" xfId="5" applyNumberFormat="1" applyFont="1" applyFill="1" applyBorder="1" applyAlignment="1">
      <alignment horizontal="left" vertical="center"/>
    </xf>
    <xf numFmtId="3" fontId="5" fillId="0" borderId="64" xfId="5" applyNumberFormat="1" applyFont="1" applyFill="1" applyBorder="1" applyAlignment="1">
      <alignment horizontal="left" vertical="center"/>
    </xf>
    <xf numFmtId="3" fontId="5" fillId="0" borderId="36" xfId="5" applyNumberFormat="1" applyFont="1" applyFill="1" applyBorder="1" applyAlignment="1">
      <alignment horizontal="left" vertical="center"/>
    </xf>
    <xf numFmtId="3" fontId="5" fillId="0" borderId="34" xfId="5" applyNumberFormat="1" applyFont="1" applyFill="1" applyBorder="1" applyAlignment="1">
      <alignment horizontal="left" vertical="center"/>
    </xf>
    <xf numFmtId="3" fontId="6" fillId="6" borderId="31" xfId="5" applyNumberFormat="1" applyFont="1" applyFill="1" applyBorder="1" applyAlignment="1">
      <alignment horizontal="right" vertical="center"/>
    </xf>
    <xf numFmtId="3" fontId="6" fillId="6" borderId="49" xfId="5" applyNumberFormat="1" applyFont="1" applyFill="1" applyBorder="1" applyAlignment="1">
      <alignment horizontal="right" vertical="center"/>
    </xf>
    <xf numFmtId="0" fontId="6" fillId="6" borderId="14" xfId="5" applyFont="1" applyFill="1" applyBorder="1" applyAlignment="1">
      <alignment horizontal="center"/>
    </xf>
    <xf numFmtId="0" fontId="6" fillId="6" borderId="55" xfId="5" applyFont="1" applyFill="1" applyBorder="1" applyAlignment="1">
      <alignment horizontal="center"/>
    </xf>
    <xf numFmtId="0" fontId="6" fillId="6" borderId="73" xfId="5" applyFont="1" applyFill="1" applyBorder="1" applyAlignment="1">
      <alignment horizontal="center" vertical="center"/>
    </xf>
    <xf numFmtId="0" fontId="6" fillId="6" borderId="63" xfId="5" applyFont="1" applyFill="1" applyBorder="1" applyAlignment="1">
      <alignment horizontal="center" vertical="center"/>
    </xf>
    <xf numFmtId="3" fontId="5" fillId="6" borderId="73" xfId="5" applyNumberFormat="1" applyFont="1" applyFill="1" applyBorder="1" applyAlignment="1">
      <alignment horizontal="center" vertical="center"/>
    </xf>
    <xf numFmtId="3" fontId="5" fillId="6" borderId="63" xfId="5" applyNumberFormat="1" applyFont="1" applyFill="1" applyBorder="1" applyAlignment="1">
      <alignment horizontal="center" vertical="center"/>
    </xf>
    <xf numFmtId="3" fontId="10" fillId="6" borderId="14" xfId="5" applyNumberFormat="1" applyFont="1" applyFill="1" applyBorder="1" applyAlignment="1">
      <alignment horizontal="center" vertical="center" wrapText="1"/>
    </xf>
    <xf numFmtId="3" fontId="10" fillId="6" borderId="55" xfId="5" applyNumberFormat="1" applyFont="1" applyFill="1" applyBorder="1" applyAlignment="1">
      <alignment horizontal="center" vertical="center" wrapText="1"/>
    </xf>
    <xf numFmtId="0" fontId="5" fillId="0" borderId="47" xfId="5" applyFont="1" applyFill="1" applyBorder="1" applyAlignment="1">
      <alignment horizontal="left" vertical="center" wrapText="1"/>
    </xf>
    <xf numFmtId="0" fontId="5" fillId="0" borderId="64" xfId="5" applyFont="1" applyFill="1" applyBorder="1" applyAlignment="1">
      <alignment horizontal="left" vertical="center" wrapText="1"/>
    </xf>
    <xf numFmtId="0" fontId="6" fillId="6" borderId="14" xfId="5" applyFont="1" applyFill="1" applyBorder="1" applyAlignment="1">
      <alignment horizontal="right"/>
    </xf>
    <xf numFmtId="0" fontId="6" fillId="6" borderId="55" xfId="5" applyFont="1" applyFill="1" applyBorder="1" applyAlignment="1">
      <alignment horizontal="right"/>
    </xf>
    <xf numFmtId="3" fontId="6" fillId="0" borderId="14" xfId="5" applyNumberFormat="1" applyFont="1" applyFill="1" applyBorder="1" applyAlignment="1">
      <alignment horizontal="left" vertical="center"/>
    </xf>
    <xf numFmtId="3" fontId="6" fillId="0" borderId="55" xfId="5" applyNumberFormat="1" applyFont="1" applyFill="1" applyBorder="1" applyAlignment="1">
      <alignment horizontal="left" vertical="center"/>
    </xf>
    <xf numFmtId="3" fontId="6" fillId="6" borderId="14" xfId="5" applyNumberFormat="1" applyFont="1" applyFill="1" applyBorder="1" applyAlignment="1">
      <alignment horizontal="right" vertical="center"/>
    </xf>
    <xf numFmtId="3" fontId="6" fillId="6" borderId="55" xfId="5" applyNumberFormat="1" applyFont="1" applyFill="1" applyBorder="1" applyAlignment="1">
      <alignment horizontal="right" vertical="center"/>
    </xf>
    <xf numFmtId="0" fontId="6" fillId="6" borderId="14" xfId="5" applyFont="1" applyFill="1" applyBorder="1" applyAlignment="1">
      <alignment horizontal="right" vertical="center" wrapText="1"/>
    </xf>
    <xf numFmtId="0" fontId="6" fillId="6" borderId="55" xfId="5" applyFont="1" applyFill="1" applyBorder="1" applyAlignment="1">
      <alignment horizontal="right" vertical="center" wrapText="1"/>
    </xf>
    <xf numFmtId="165" fontId="5" fillId="6" borderId="25" xfId="6" applyNumberFormat="1" applyFont="1" applyFill="1" applyBorder="1" applyAlignment="1">
      <alignment horizontal="center" vertical="center"/>
    </xf>
    <xf numFmtId="165" fontId="5" fillId="6" borderId="61" xfId="6" applyNumberFormat="1" applyFont="1" applyFill="1" applyBorder="1" applyAlignment="1">
      <alignment horizontal="center" vertical="center"/>
    </xf>
    <xf numFmtId="165" fontId="5" fillId="6" borderId="27" xfId="6" applyNumberFormat="1" applyFont="1" applyFill="1" applyBorder="1" applyAlignment="1">
      <alignment horizontal="center" vertical="center"/>
    </xf>
    <xf numFmtId="165" fontId="5" fillId="6" borderId="26" xfId="6" applyNumberFormat="1" applyFont="1" applyFill="1" applyBorder="1" applyAlignment="1">
      <alignment horizontal="center" vertical="center"/>
    </xf>
    <xf numFmtId="165" fontId="5" fillId="6" borderId="68" xfId="6" applyNumberFormat="1" applyFont="1" applyFill="1" applyBorder="1" applyAlignment="1">
      <alignment horizontal="center" vertical="center"/>
    </xf>
    <xf numFmtId="165" fontId="5" fillId="6" borderId="70" xfId="6" applyNumberFormat="1" applyFont="1" applyFill="1" applyBorder="1" applyAlignment="1">
      <alignment horizontal="center" vertical="center"/>
    </xf>
    <xf numFmtId="165" fontId="5" fillId="11" borderId="25" xfId="6" applyNumberFormat="1" applyFont="1" applyFill="1" applyBorder="1" applyAlignment="1">
      <alignment horizontal="center" vertical="center"/>
    </xf>
    <xf numFmtId="165" fontId="5" fillId="11" borderId="61" xfId="6" applyNumberFormat="1" applyFont="1" applyFill="1" applyBorder="1" applyAlignment="1">
      <alignment horizontal="center" vertical="center"/>
    </xf>
    <xf numFmtId="165" fontId="5" fillId="11" borderId="27" xfId="6" applyNumberFormat="1" applyFont="1" applyFill="1" applyBorder="1" applyAlignment="1">
      <alignment horizontal="center" vertical="center"/>
    </xf>
    <xf numFmtId="165" fontId="26" fillId="11" borderId="26" xfId="1" applyNumberFormat="1" applyFont="1" applyFill="1" applyBorder="1" applyAlignment="1">
      <alignment horizontal="center" vertical="center"/>
    </xf>
    <xf numFmtId="165" fontId="26" fillId="11" borderId="68" xfId="1" applyNumberFormat="1" applyFont="1" applyFill="1" applyBorder="1" applyAlignment="1">
      <alignment horizontal="center" vertical="center"/>
    </xf>
    <xf numFmtId="165" fontId="26" fillId="11" borderId="70" xfId="1" applyNumberFormat="1" applyFont="1" applyFill="1" applyBorder="1" applyAlignment="1">
      <alignment horizontal="center" vertical="center"/>
    </xf>
    <xf numFmtId="3" fontId="10" fillId="6" borderId="60" xfId="5" applyNumberFormat="1" applyFont="1" applyFill="1" applyBorder="1" applyAlignment="1">
      <alignment horizontal="right" vertical="center" wrapText="1"/>
    </xf>
    <xf numFmtId="3" fontId="10" fillId="6" borderId="32" xfId="5" applyNumberFormat="1" applyFont="1" applyFill="1" applyBorder="1" applyAlignment="1">
      <alignment horizontal="right" vertical="center" wrapText="1"/>
    </xf>
    <xf numFmtId="168" fontId="10" fillId="6" borderId="36" xfId="5" applyNumberFormat="1" applyFont="1" applyFill="1" applyBorder="1" applyAlignment="1">
      <alignment horizontal="right" vertical="center"/>
    </xf>
    <xf numFmtId="168" fontId="10" fillId="6" borderId="34" xfId="5" applyNumberFormat="1" applyFont="1" applyFill="1" applyBorder="1" applyAlignment="1">
      <alignment horizontal="right" vertical="center"/>
    </xf>
    <xf numFmtId="0" fontId="7" fillId="7" borderId="25" xfId="5" applyFont="1" applyFill="1" applyBorder="1" applyAlignment="1">
      <alignment horizontal="center" vertical="center"/>
    </xf>
    <xf numFmtId="0" fontId="7" fillId="7" borderId="61" xfId="5" applyFont="1" applyFill="1" applyBorder="1" applyAlignment="1">
      <alignment horizontal="center" vertical="center"/>
    </xf>
    <xf numFmtId="0" fontId="7" fillId="7" borderId="27" xfId="5" applyFont="1" applyFill="1" applyBorder="1" applyAlignment="1">
      <alignment horizontal="center" vertical="center"/>
    </xf>
    <xf numFmtId="165" fontId="7" fillId="7" borderId="26" xfId="14" applyNumberFormat="1" applyFont="1" applyFill="1" applyBorder="1" applyAlignment="1">
      <alignment horizontal="center" vertical="center"/>
    </xf>
    <xf numFmtId="165" fontId="7" fillId="7" borderId="68" xfId="14" applyNumberFormat="1" applyFont="1" applyFill="1" applyBorder="1" applyAlignment="1">
      <alignment horizontal="center" vertical="center"/>
    </xf>
    <xf numFmtId="165" fontId="7" fillId="7" borderId="70" xfId="14" applyNumberFormat="1" applyFont="1" applyFill="1" applyBorder="1" applyAlignment="1">
      <alignment horizontal="center" vertical="center"/>
    </xf>
    <xf numFmtId="165" fontId="7" fillId="7" borderId="12" xfId="14" applyNumberFormat="1" applyFont="1" applyFill="1" applyBorder="1" applyAlignment="1">
      <alignment horizontal="center" vertical="center"/>
    </xf>
    <xf numFmtId="3" fontId="7" fillId="0" borderId="60" xfId="5" applyNumberFormat="1" applyFont="1" applyFill="1" applyBorder="1" applyAlignment="1">
      <alignment horizontal="left" vertical="center" wrapText="1"/>
    </xf>
    <xf numFmtId="3" fontId="7" fillId="0" borderId="71" xfId="5" applyNumberFormat="1" applyFont="1" applyFill="1" applyBorder="1" applyAlignment="1">
      <alignment horizontal="left" vertical="center" wrapText="1"/>
    </xf>
    <xf numFmtId="3" fontId="7" fillId="0" borderId="72" xfId="5" applyNumberFormat="1" applyFont="1" applyFill="1" applyBorder="1" applyAlignment="1">
      <alignment horizontal="left" vertical="center" wrapText="1"/>
    </xf>
    <xf numFmtId="165" fontId="5" fillId="14" borderId="26" xfId="6" applyNumberFormat="1" applyFont="1" applyFill="1" applyBorder="1" applyAlignment="1">
      <alignment horizontal="center" vertical="center"/>
    </xf>
    <xf numFmtId="165" fontId="5" fillId="14" borderId="68" xfId="6" applyNumberFormat="1" applyFont="1" applyFill="1" applyBorder="1" applyAlignment="1">
      <alignment horizontal="center" vertical="center"/>
    </xf>
    <xf numFmtId="165" fontId="5" fillId="14" borderId="70" xfId="6" applyNumberFormat="1" applyFont="1" applyFill="1" applyBorder="1" applyAlignment="1">
      <alignment horizontal="center" vertical="center"/>
    </xf>
    <xf numFmtId="165" fontId="5" fillId="6" borderId="12" xfId="6" applyNumberFormat="1" applyFont="1" applyFill="1" applyBorder="1" applyAlignment="1">
      <alignment horizontal="center" vertical="center"/>
    </xf>
    <xf numFmtId="165" fontId="5" fillId="11" borderId="29" xfId="6" applyNumberFormat="1" applyFont="1" applyFill="1" applyBorder="1" applyAlignment="1">
      <alignment horizontal="center" vertical="center"/>
    </xf>
    <xf numFmtId="165" fontId="26" fillId="11" borderId="12" xfId="1" applyNumberFormat="1" applyFont="1" applyFill="1" applyBorder="1" applyAlignment="1">
      <alignment horizontal="center" vertical="center"/>
    </xf>
    <xf numFmtId="165" fontId="5" fillId="12" borderId="29" xfId="6" applyNumberFormat="1" applyFont="1" applyFill="1" applyBorder="1" applyAlignment="1">
      <alignment horizontal="center" vertical="center"/>
    </xf>
    <xf numFmtId="165" fontId="5" fillId="12" borderId="61" xfId="6" applyNumberFormat="1" applyFont="1" applyFill="1" applyBorder="1" applyAlignment="1">
      <alignment horizontal="center" vertical="center"/>
    </xf>
    <xf numFmtId="165" fontId="5" fillId="12" borderId="27" xfId="6" applyNumberFormat="1" applyFont="1" applyFill="1" applyBorder="1" applyAlignment="1">
      <alignment horizontal="center" vertical="center"/>
    </xf>
    <xf numFmtId="165" fontId="5" fillId="12" borderId="12" xfId="6" applyNumberFormat="1" applyFont="1" applyFill="1" applyBorder="1" applyAlignment="1">
      <alignment horizontal="center" vertical="center"/>
    </xf>
    <xf numFmtId="165" fontId="5" fillId="12" borderId="68" xfId="6" applyNumberFormat="1" applyFont="1" applyFill="1" applyBorder="1" applyAlignment="1">
      <alignment horizontal="center" vertical="center"/>
    </xf>
    <xf numFmtId="165" fontId="5" fillId="12" borderId="70" xfId="6" applyNumberFormat="1" applyFont="1" applyFill="1" applyBorder="1" applyAlignment="1">
      <alignment horizontal="center" vertical="center"/>
    </xf>
    <xf numFmtId="0" fontId="7" fillId="7" borderId="29" xfId="5" applyFont="1" applyFill="1" applyBorder="1" applyAlignment="1">
      <alignment horizontal="center" vertical="center"/>
    </xf>
    <xf numFmtId="165" fontId="5" fillId="6" borderId="29" xfId="6" applyNumberFormat="1" applyFont="1" applyFill="1" applyBorder="1" applyAlignment="1">
      <alignment horizontal="center" vertical="center"/>
    </xf>
    <xf numFmtId="1" fontId="7" fillId="0" borderId="72" xfId="5" applyNumberFormat="1" applyFont="1" applyFill="1" applyBorder="1" applyAlignment="1">
      <alignment horizontal="center" vertical="center"/>
    </xf>
    <xf numFmtId="1" fontId="7" fillId="0" borderId="73" xfId="5" applyNumberFormat="1" applyFont="1" applyFill="1" applyBorder="1" applyAlignment="1">
      <alignment horizontal="center" vertical="center"/>
    </xf>
    <xf numFmtId="1" fontId="7" fillId="0" borderId="52" xfId="5" applyNumberFormat="1" applyFont="1" applyFill="1" applyBorder="1" applyAlignment="1">
      <alignment horizontal="center" vertical="center"/>
    </xf>
    <xf numFmtId="3" fontId="7" fillId="0" borderId="28" xfId="5" applyNumberFormat="1" applyFont="1" applyFill="1" applyBorder="1" applyAlignment="1">
      <alignment horizontal="center" vertical="center" wrapText="1"/>
    </xf>
    <xf numFmtId="3" fontId="7" fillId="0" borderId="33" xfId="5" applyNumberFormat="1" applyFont="1" applyFill="1" applyBorder="1" applyAlignment="1">
      <alignment horizontal="center" vertical="center" wrapText="1"/>
    </xf>
    <xf numFmtId="3" fontId="7" fillId="0" borderId="8" xfId="5" applyNumberFormat="1" applyFont="1" applyFill="1" applyBorder="1" applyAlignment="1">
      <alignment horizontal="center" vertical="center" wrapText="1"/>
    </xf>
    <xf numFmtId="3" fontId="7" fillId="0" borderId="30" xfId="5" applyNumberFormat="1" applyFont="1" applyFill="1" applyBorder="1" applyAlignment="1">
      <alignment horizontal="center" vertical="center"/>
    </xf>
    <xf numFmtId="3" fontId="7" fillId="0" borderId="10" xfId="5" applyNumberFormat="1" applyFont="1" applyFill="1" applyBorder="1" applyAlignment="1">
      <alignment horizontal="center" vertical="center"/>
    </xf>
    <xf numFmtId="3" fontId="7" fillId="0" borderId="11" xfId="5" applyNumberFormat="1" applyFont="1" applyFill="1" applyBorder="1" applyAlignment="1">
      <alignment horizontal="center" vertical="center"/>
    </xf>
    <xf numFmtId="165" fontId="5" fillId="0" borderId="30" xfId="6" applyNumberFormat="1" applyFont="1" applyFill="1" applyBorder="1" applyAlignment="1">
      <alignment horizontal="center" vertical="center"/>
    </xf>
    <xf numFmtId="165" fontId="5" fillId="0" borderId="10" xfId="6" applyNumberFormat="1" applyFont="1" applyFill="1" applyBorder="1" applyAlignment="1">
      <alignment horizontal="center" vertical="center"/>
    </xf>
    <xf numFmtId="165" fontId="5" fillId="0" borderId="11" xfId="6" applyNumberFormat="1" applyFont="1" applyFill="1" applyBorder="1" applyAlignment="1">
      <alignment horizontal="center" vertical="center"/>
    </xf>
    <xf numFmtId="165" fontId="6" fillId="14" borderId="25" xfId="6" applyNumberFormat="1" applyFont="1" applyFill="1" applyBorder="1" applyAlignment="1">
      <alignment horizontal="center" vertical="center"/>
    </xf>
    <xf numFmtId="165" fontId="6" fillId="14" borderId="61" xfId="6" applyNumberFormat="1" applyFont="1" applyFill="1" applyBorder="1" applyAlignment="1">
      <alignment horizontal="center" vertical="center"/>
    </xf>
    <xf numFmtId="165" fontId="6" fillId="14" borderId="27" xfId="6" applyNumberFormat="1" applyFont="1" applyFill="1" applyBorder="1" applyAlignment="1">
      <alignment horizontal="center" vertical="center"/>
    </xf>
    <xf numFmtId="1" fontId="7" fillId="0" borderId="9" xfId="5" applyNumberFormat="1" applyFont="1" applyFill="1" applyBorder="1" applyAlignment="1">
      <alignment horizontal="center" vertical="center"/>
    </xf>
    <xf numFmtId="1" fontId="7" fillId="0" borderId="10" xfId="5" applyNumberFormat="1" applyFont="1" applyFill="1" applyBorder="1" applyAlignment="1">
      <alignment horizontal="center" vertical="center"/>
    </xf>
    <xf numFmtId="1" fontId="7" fillId="0" borderId="7" xfId="5" applyNumberFormat="1" applyFont="1" applyFill="1" applyBorder="1" applyAlignment="1">
      <alignment horizontal="center" vertical="center"/>
    </xf>
    <xf numFmtId="3" fontId="7" fillId="0" borderId="9" xfId="5" applyNumberFormat="1" applyFont="1" applyFill="1" applyBorder="1" applyAlignment="1">
      <alignment horizontal="center" vertical="center"/>
    </xf>
    <xf numFmtId="165" fontId="5" fillId="0" borderId="9" xfId="6" applyNumberFormat="1" applyFont="1" applyFill="1" applyBorder="1" applyAlignment="1">
      <alignment horizontal="center" vertical="center"/>
    </xf>
    <xf numFmtId="165" fontId="5" fillId="14" borderId="12" xfId="6" applyNumberFormat="1" applyFont="1" applyFill="1" applyBorder="1" applyAlignment="1">
      <alignment horizontal="center" vertical="center"/>
    </xf>
    <xf numFmtId="3" fontId="10" fillId="6" borderId="31" xfId="5" applyNumberFormat="1" applyFont="1" applyFill="1" applyBorder="1" applyAlignment="1">
      <alignment horizontal="right" vertical="center" wrapText="1"/>
    </xf>
    <xf numFmtId="3" fontId="10" fillId="6" borderId="49" xfId="5" applyNumberFormat="1" applyFont="1" applyFill="1" applyBorder="1" applyAlignment="1">
      <alignment horizontal="right" vertical="center" wrapText="1"/>
    </xf>
    <xf numFmtId="165" fontId="6" fillId="12" borderId="15" xfId="6" applyNumberFormat="1" applyFont="1" applyFill="1" applyBorder="1" applyAlignment="1">
      <alignment horizontal="center" vertical="center"/>
    </xf>
    <xf numFmtId="165" fontId="6" fillId="12" borderId="50" xfId="6" applyNumberFormat="1" applyFont="1" applyFill="1" applyBorder="1" applyAlignment="1">
      <alignment horizontal="center" vertical="center"/>
    </xf>
    <xf numFmtId="0" fontId="10" fillId="7" borderId="15" xfId="5" applyFont="1" applyFill="1" applyBorder="1" applyAlignment="1">
      <alignment horizontal="center" vertical="center" wrapText="1"/>
    </xf>
    <xf numFmtId="0" fontId="10" fillId="7" borderId="50" xfId="5" applyFont="1" applyFill="1" applyBorder="1" applyAlignment="1">
      <alignment horizontal="center" vertical="center" wrapText="1"/>
    </xf>
    <xf numFmtId="0" fontId="10" fillId="15" borderId="15" xfId="5" applyFont="1" applyFill="1" applyBorder="1" applyAlignment="1">
      <alignment horizontal="center" vertical="center"/>
    </xf>
    <xf numFmtId="0" fontId="10" fillId="15" borderId="50" xfId="5" applyFont="1" applyFill="1" applyBorder="1" applyAlignment="1">
      <alignment horizontal="center" vertical="center"/>
    </xf>
    <xf numFmtId="165" fontId="6" fillId="6" borderId="41" xfId="6" applyNumberFormat="1" applyFont="1" applyFill="1" applyBorder="1" applyAlignment="1">
      <alignment horizontal="center" vertical="center"/>
    </xf>
    <xf numFmtId="165" fontId="6" fillId="6" borderId="50" xfId="6" applyNumberFormat="1" applyFont="1" applyFill="1" applyBorder="1" applyAlignment="1">
      <alignment horizontal="center" vertical="center"/>
    </xf>
    <xf numFmtId="165" fontId="6" fillId="11" borderId="15" xfId="6" applyNumberFormat="1" applyFont="1" applyFill="1" applyBorder="1" applyAlignment="1">
      <alignment horizontal="center" vertical="center" wrapText="1"/>
    </xf>
    <xf numFmtId="165" fontId="6" fillId="11" borderId="17" xfId="6" applyNumberFormat="1" applyFont="1" applyFill="1" applyBorder="1" applyAlignment="1">
      <alignment horizontal="center" vertical="center" wrapText="1"/>
    </xf>
    <xf numFmtId="1" fontId="10" fillId="6" borderId="14" xfId="5" applyNumberFormat="1" applyFont="1" applyFill="1" applyBorder="1" applyAlignment="1">
      <alignment horizontal="right" vertical="center"/>
    </xf>
    <xf numFmtId="1" fontId="10" fillId="6" borderId="55" xfId="5" applyNumberFormat="1" applyFont="1" applyFill="1" applyBorder="1" applyAlignment="1">
      <alignment horizontal="right" vertical="center"/>
    </xf>
    <xf numFmtId="165" fontId="6" fillId="14" borderId="15" xfId="6" applyNumberFormat="1" applyFont="1" applyFill="1" applyBorder="1" applyAlignment="1">
      <alignment horizontal="center" vertical="center"/>
    </xf>
    <xf numFmtId="165" fontId="6" fillId="14" borderId="17" xfId="6" applyNumberFormat="1" applyFont="1" applyFill="1" applyBorder="1" applyAlignment="1">
      <alignment horizontal="center" vertical="center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0" fontId="37" fillId="0" borderId="28" xfId="5" applyFont="1" applyFill="1" applyBorder="1" applyAlignment="1">
      <alignment horizontal="center" vertical="center"/>
    </xf>
    <xf numFmtId="0" fontId="37" fillId="0" borderId="30" xfId="5" applyFont="1" applyFill="1" applyBorder="1" applyAlignment="1">
      <alignment horizontal="center" vertical="center"/>
    </xf>
    <xf numFmtId="0" fontId="37" fillId="0" borderId="31" xfId="5" applyFont="1" applyFill="1" applyBorder="1" applyAlignment="1">
      <alignment horizontal="center" vertical="center"/>
    </xf>
    <xf numFmtId="0" fontId="37" fillId="0" borderId="49" xfId="5" applyFont="1" applyFill="1" applyBorder="1" applyAlignment="1">
      <alignment horizontal="center" vertical="center"/>
    </xf>
    <xf numFmtId="0" fontId="37" fillId="0" borderId="52" xfId="5" applyFont="1" applyFill="1" applyBorder="1" applyAlignment="1">
      <alignment horizontal="center" vertical="center"/>
    </xf>
    <xf numFmtId="0" fontId="37" fillId="0" borderId="53" xfId="5" applyFont="1" applyFill="1" applyBorder="1" applyAlignment="1">
      <alignment horizontal="center" vertical="center"/>
    </xf>
    <xf numFmtId="0" fontId="37" fillId="0" borderId="31" xfId="5" applyFont="1" applyFill="1" applyBorder="1" applyAlignment="1">
      <alignment horizontal="center" vertical="center" wrapText="1"/>
    </xf>
    <xf numFmtId="0" fontId="37" fillId="0" borderId="52" xfId="5" applyFont="1" applyFill="1" applyBorder="1" applyAlignment="1">
      <alignment horizontal="center" vertical="center" wrapText="1"/>
    </xf>
    <xf numFmtId="165" fontId="37" fillId="0" borderId="28" xfId="6" applyNumberFormat="1" applyFont="1" applyFill="1" applyBorder="1" applyAlignment="1">
      <alignment horizontal="center" vertical="center" wrapText="1"/>
    </xf>
    <xf numFmtId="165" fontId="37" fillId="0" borderId="30" xfId="6" applyNumberFormat="1" applyFont="1" applyFill="1" applyBorder="1" applyAlignment="1">
      <alignment horizontal="center" vertical="center" wrapText="1"/>
    </xf>
    <xf numFmtId="0" fontId="37" fillId="0" borderId="29" xfId="3" applyFont="1" applyFill="1" applyBorder="1" applyAlignment="1">
      <alignment horizontal="center" vertical="center"/>
    </xf>
    <xf numFmtId="0" fontId="37" fillId="0" borderId="12" xfId="3" applyFont="1" applyFill="1" applyBorder="1" applyAlignment="1">
      <alignment horizontal="center" vertical="center"/>
    </xf>
    <xf numFmtId="0" fontId="37" fillId="0" borderId="0" xfId="3" applyFont="1" applyFill="1" applyBorder="1" applyAlignment="1">
      <alignment horizontal="center" vertical="center" wrapText="1"/>
    </xf>
    <xf numFmtId="0" fontId="37" fillId="0" borderId="14" xfId="5" applyFont="1" applyFill="1" applyBorder="1" applyAlignment="1">
      <alignment horizontal="center"/>
    </xf>
    <xf numFmtId="0" fontId="37" fillId="0" borderId="55" xfId="5" applyFont="1" applyFill="1" applyBorder="1" applyAlignment="1">
      <alignment horizontal="center"/>
    </xf>
    <xf numFmtId="3" fontId="36" fillId="0" borderId="60" xfId="5" applyNumberFormat="1" applyFont="1" applyFill="1" applyBorder="1" applyAlignment="1">
      <alignment horizontal="left" vertical="center" wrapText="1"/>
    </xf>
    <xf numFmtId="3" fontId="36" fillId="0" borderId="71" xfId="5" applyNumberFormat="1" applyFont="1" applyFill="1" applyBorder="1" applyAlignment="1">
      <alignment horizontal="left" vertical="center" wrapText="1"/>
    </xf>
    <xf numFmtId="1" fontId="37" fillId="0" borderId="14" xfId="5" applyNumberFormat="1" applyFont="1" applyFill="1" applyBorder="1" applyAlignment="1">
      <alignment horizontal="right" vertical="center"/>
    </xf>
    <xf numFmtId="1" fontId="37" fillId="0" borderId="55" xfId="5" applyNumberFormat="1" applyFont="1" applyFill="1" applyBorder="1" applyAlignment="1">
      <alignment horizontal="right" vertical="center"/>
    </xf>
    <xf numFmtId="0" fontId="45" fillId="0" borderId="46" xfId="3" applyFont="1" applyFill="1" applyBorder="1" applyAlignment="1">
      <alignment horizontal="right" vertical="center"/>
    </xf>
    <xf numFmtId="0" fontId="37" fillId="0" borderId="29" xfId="3" applyFont="1" applyFill="1" applyBorder="1" applyAlignment="1">
      <alignment horizontal="center" vertical="center" wrapText="1"/>
    </xf>
    <xf numFmtId="0" fontId="37" fillId="0" borderId="12" xfId="3" applyFont="1" applyFill="1" applyBorder="1" applyAlignment="1">
      <alignment horizontal="center" vertical="center" wrapText="1"/>
    </xf>
    <xf numFmtId="0" fontId="37" fillId="0" borderId="14" xfId="3" applyFont="1" applyFill="1" applyBorder="1" applyAlignment="1">
      <alignment horizontal="left" vertical="center"/>
    </xf>
    <xf numFmtId="0" fontId="37" fillId="0" borderId="55" xfId="3" applyFont="1" applyFill="1" applyBorder="1" applyAlignment="1">
      <alignment horizontal="left" vertical="center"/>
    </xf>
    <xf numFmtId="0" fontId="37" fillId="0" borderId="14" xfId="3" applyFont="1" applyFill="1" applyBorder="1" applyAlignment="1">
      <alignment horizontal="right" vertical="center"/>
    </xf>
    <xf numFmtId="0" fontId="37" fillId="0" borderId="55" xfId="3" applyFont="1" applyFill="1" applyBorder="1" applyAlignment="1">
      <alignment horizontal="right" vertical="center"/>
    </xf>
    <xf numFmtId="0" fontId="36" fillId="0" borderId="38" xfId="5" applyFont="1" applyFill="1" applyBorder="1" applyAlignment="1">
      <alignment horizontal="left" vertical="center" wrapText="1"/>
    </xf>
    <xf numFmtId="0" fontId="36" fillId="0" borderId="32" xfId="5" applyFont="1" applyFill="1" applyBorder="1" applyAlignment="1">
      <alignment horizontal="left" vertical="center" wrapText="1"/>
    </xf>
    <xf numFmtId="3" fontId="36" fillId="0" borderId="40" xfId="5" applyNumberFormat="1" applyFont="1" applyFill="1" applyBorder="1" applyAlignment="1">
      <alignment horizontal="left" vertical="center"/>
    </xf>
    <xf numFmtId="3" fontId="36" fillId="0" borderId="34" xfId="5" applyNumberFormat="1" applyFont="1" applyFill="1" applyBorder="1" applyAlignment="1">
      <alignment horizontal="left" vertical="center"/>
    </xf>
    <xf numFmtId="3" fontId="37" fillId="0" borderId="31" xfId="5" applyNumberFormat="1" applyFont="1" applyFill="1" applyBorder="1" applyAlignment="1">
      <alignment horizontal="right" vertical="center"/>
    </xf>
    <xf numFmtId="3" fontId="37" fillId="0" borderId="49" xfId="5" applyNumberFormat="1" applyFont="1" applyFill="1" applyBorder="1" applyAlignment="1">
      <alignment horizontal="right" vertical="center"/>
    </xf>
    <xf numFmtId="3" fontId="37" fillId="0" borderId="73" xfId="5" applyNumberFormat="1" applyFont="1" applyFill="1" applyBorder="1" applyAlignment="1">
      <alignment horizontal="right" vertical="center"/>
    </xf>
    <xf numFmtId="3" fontId="37" fillId="0" borderId="63" xfId="5" applyNumberFormat="1" applyFont="1" applyFill="1" applyBorder="1" applyAlignment="1">
      <alignment horizontal="right" vertical="center"/>
    </xf>
    <xf numFmtId="0" fontId="37" fillId="0" borderId="14" xfId="5" applyFont="1" applyFill="1" applyBorder="1" applyAlignment="1">
      <alignment horizontal="right" wrapText="1"/>
    </xf>
    <xf numFmtId="0" fontId="37" fillId="0" borderId="55" xfId="5" applyFont="1" applyFill="1" applyBorder="1" applyAlignment="1">
      <alignment horizontal="right" wrapText="1"/>
    </xf>
    <xf numFmtId="0" fontId="36" fillId="0" borderId="73" xfId="3" applyFont="1" applyFill="1" applyBorder="1" applyAlignment="1">
      <alignment horizontal="left" vertical="center" wrapText="1"/>
    </xf>
    <xf numFmtId="0" fontId="36" fillId="0" borderId="63" xfId="3" applyFont="1" applyFill="1" applyBorder="1" applyAlignment="1">
      <alignment horizontal="left" vertical="center" wrapText="1"/>
    </xf>
    <xf numFmtId="0" fontId="37" fillId="0" borderId="14" xfId="3" applyFont="1" applyFill="1" applyBorder="1" applyAlignment="1">
      <alignment horizontal="right" vertical="center" wrapText="1"/>
    </xf>
    <xf numFmtId="0" fontId="37" fillId="0" borderId="55" xfId="3" applyFont="1" applyFill="1" applyBorder="1" applyAlignment="1">
      <alignment horizontal="right" vertical="center" wrapText="1"/>
    </xf>
    <xf numFmtId="0" fontId="36" fillId="0" borderId="42" xfId="5" applyFont="1" applyFill="1" applyBorder="1" applyAlignment="1">
      <alignment horizontal="left" vertical="center" wrapText="1"/>
    </xf>
    <xf numFmtId="0" fontId="36" fillId="0" borderId="54" xfId="5" applyFont="1" applyFill="1" applyBorder="1" applyAlignment="1">
      <alignment horizontal="left" vertical="center" wrapText="1"/>
    </xf>
    <xf numFmtId="3" fontId="37" fillId="0" borderId="14" xfId="5" applyNumberFormat="1" applyFont="1" applyFill="1" applyBorder="1" applyAlignment="1">
      <alignment horizontal="center" vertical="center" wrapText="1"/>
    </xf>
    <xf numFmtId="3" fontId="37" fillId="0" borderId="55" xfId="5" applyNumberFormat="1" applyFont="1" applyFill="1" applyBorder="1" applyAlignment="1">
      <alignment horizontal="center" vertical="center" wrapText="1"/>
    </xf>
    <xf numFmtId="3" fontId="36" fillId="0" borderId="58" xfId="5" applyNumberFormat="1" applyFont="1" applyFill="1" applyBorder="1" applyAlignment="1">
      <alignment horizontal="left" vertical="center" wrapText="1"/>
    </xf>
    <xf numFmtId="3" fontId="36" fillId="0" borderId="59" xfId="5" applyNumberFormat="1" applyFont="1" applyFill="1" applyBorder="1" applyAlignment="1">
      <alignment horizontal="left" vertical="center" wrapText="1"/>
    </xf>
    <xf numFmtId="0" fontId="36" fillId="0" borderId="37" xfId="7" applyFont="1" applyFill="1" applyBorder="1" applyAlignment="1">
      <alignment horizontal="left" vertical="center" wrapText="1"/>
    </xf>
    <xf numFmtId="0" fontId="36" fillId="0" borderId="13" xfId="7" applyFont="1" applyFill="1" applyBorder="1" applyAlignment="1">
      <alignment horizontal="left" vertical="center" wrapText="1"/>
    </xf>
    <xf numFmtId="0" fontId="36" fillId="0" borderId="37" xfId="5" applyFont="1" applyFill="1" applyBorder="1" applyAlignment="1">
      <alignment horizontal="left" wrapText="1"/>
    </xf>
    <xf numFmtId="0" fontId="36" fillId="0" borderId="13" xfId="5" applyFont="1" applyFill="1" applyBorder="1" applyAlignment="1">
      <alignment horizontal="left" wrapText="1"/>
    </xf>
    <xf numFmtId="168" fontId="37" fillId="0" borderId="5" xfId="5" applyNumberFormat="1" applyFont="1" applyFill="1" applyBorder="1" applyAlignment="1">
      <alignment horizontal="right" vertical="center"/>
    </xf>
    <xf numFmtId="3" fontId="36" fillId="0" borderId="72" xfId="5" applyNumberFormat="1" applyFont="1" applyFill="1" applyBorder="1" applyAlignment="1">
      <alignment horizontal="left" vertical="center" wrapText="1"/>
    </xf>
    <xf numFmtId="3" fontId="36" fillId="0" borderId="74" xfId="5" applyNumberFormat="1" applyFont="1" applyFill="1" applyBorder="1" applyAlignment="1">
      <alignment horizontal="left" vertical="center" wrapText="1"/>
    </xf>
    <xf numFmtId="3" fontId="37" fillId="0" borderId="14" xfId="5" applyNumberFormat="1" applyFont="1" applyFill="1" applyBorder="1" applyAlignment="1">
      <alignment horizontal="right" vertical="center" wrapText="1"/>
    </xf>
    <xf numFmtId="3" fontId="37" fillId="0" borderId="55" xfId="5" applyNumberFormat="1" applyFont="1" applyFill="1" applyBorder="1" applyAlignment="1">
      <alignment horizontal="right" vertical="center" wrapText="1"/>
    </xf>
    <xf numFmtId="0" fontId="36" fillId="0" borderId="5" xfId="5" applyFont="1" applyFill="1" applyBorder="1" applyAlignment="1">
      <alignment horizontal="left" vertical="center" wrapText="1"/>
    </xf>
    <xf numFmtId="0" fontId="36" fillId="0" borderId="55" xfId="5" applyFont="1" applyFill="1" applyBorder="1" applyAlignment="1">
      <alignment horizontal="left" vertical="center" wrapText="1"/>
    </xf>
    <xf numFmtId="0" fontId="51" fillId="0" borderId="0" xfId="3" applyFont="1" applyFill="1" applyBorder="1" applyAlignment="1">
      <alignment horizontal="center" vertical="center" wrapText="1"/>
    </xf>
    <xf numFmtId="3" fontId="36" fillId="0" borderId="14" xfId="5" applyNumberFormat="1" applyFont="1" applyFill="1" applyBorder="1" applyAlignment="1">
      <alignment horizontal="left" vertical="center" wrapText="1"/>
    </xf>
    <xf numFmtId="3" fontId="36" fillId="0" borderId="55" xfId="5" applyNumberFormat="1" applyFont="1" applyFill="1" applyBorder="1" applyAlignment="1">
      <alignment horizontal="left" vertical="center" wrapText="1"/>
    </xf>
    <xf numFmtId="3" fontId="37" fillId="0" borderId="52" xfId="5" applyNumberFormat="1" applyFont="1" applyFill="1" applyBorder="1" applyAlignment="1">
      <alignment horizontal="right" vertical="center" wrapText="1"/>
    </xf>
    <xf numFmtId="3" fontId="37" fillId="0" borderId="53" xfId="5" applyNumberFormat="1" applyFont="1" applyFill="1" applyBorder="1" applyAlignment="1">
      <alignment horizontal="right" vertical="center" wrapText="1"/>
    </xf>
  </cellXfs>
  <cellStyles count="15">
    <cellStyle name="Comma" xfId="14" builtinId="3"/>
    <cellStyle name="Comma [0] 2" xfId="10"/>
    <cellStyle name="Comma [0] 2 2" xfId="12"/>
    <cellStyle name="Comma 2" xfId="1"/>
    <cellStyle name="Comma 2 2" xfId="11"/>
    <cellStyle name="Comma 3" xfId="2"/>
    <cellStyle name="Comma 3 2" xfId="6"/>
    <cellStyle name="Comma 4" xfId="9"/>
    <cellStyle name="Normal" xfId="0" builtinId="0"/>
    <cellStyle name="Normal 2" xfId="3"/>
    <cellStyle name="Normal 2 2" xfId="7"/>
    <cellStyle name="Normal 3" xfId="4"/>
    <cellStyle name="Normal 3 2" xfId="5"/>
    <cellStyle name="Normal 4" xfId="8"/>
    <cellStyle name="Percent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.MEZO-KAINOZOI-2021/&#1058;&#1086;&#1076;&#1086;&#1090;&#1075;&#1086;&#1083;/2022/Mezo-Kainozoi-2022%20&#1086;&#1085;&#1099;%20&#1090;&#1257;&#1089;&#1074;&#1080;&#1081;&#1085;%20&#1090;&#1086;&#1076;&#1086;&#1090;&#1075;&#1086;&#1083;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эгдсэн төсөв"/>
      <sheetName val="Тодотгол_2022_Хавсралт_6"/>
      <sheetName val="Тодотгол_2022_хавсралт_7_FINAL"/>
      <sheetName val="Хуанличласан төлөвлөгөө"/>
    </sheetNames>
    <sheetDataSet>
      <sheetData sheetId="0">
        <row r="57">
          <cell r="F57">
            <v>101550000</v>
          </cell>
        </row>
        <row r="58">
          <cell r="F58">
            <v>217950000</v>
          </cell>
        </row>
        <row r="59">
          <cell r="F59">
            <v>1807983560.72</v>
          </cell>
        </row>
        <row r="60">
          <cell r="F60">
            <v>180798356.07200003</v>
          </cell>
        </row>
        <row r="61">
          <cell r="F61">
            <v>9039917.8036000002</v>
          </cell>
        </row>
        <row r="62">
          <cell r="F62">
            <v>1997821834.5956001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6"/>
  <sheetViews>
    <sheetView workbookViewId="0">
      <selection activeCell="L51" sqref="L51"/>
    </sheetView>
  </sheetViews>
  <sheetFormatPr defaultColWidth="9" defaultRowHeight="12.75" x14ac:dyDescent="0.2"/>
  <cols>
    <col min="1" max="1" width="4.375" style="1" customWidth="1"/>
    <col min="2" max="2" width="53" style="75" customWidth="1"/>
    <col min="3" max="3" width="11.875" style="25" customWidth="1"/>
    <col min="4" max="4" width="10.625" style="1" customWidth="1"/>
    <col min="5" max="5" width="11.75" style="47" customWidth="1"/>
    <col min="6" max="6" width="15.25" style="1" customWidth="1"/>
    <col min="7" max="7" width="7.25" style="1" customWidth="1"/>
    <col min="8" max="8" width="13.625" style="1" customWidth="1"/>
    <col min="9" max="9" width="6.625" style="1" customWidth="1"/>
    <col min="10" max="10" width="14.375" style="1" customWidth="1"/>
    <col min="11" max="11" width="7" style="1" customWidth="1"/>
    <col min="12" max="12" width="12.375" style="1" customWidth="1"/>
    <col min="13" max="13" width="11.625" style="80" customWidth="1"/>
    <col min="14" max="14" width="13.5" style="80" customWidth="1"/>
    <col min="15" max="15" width="10.875" style="80" customWidth="1"/>
    <col min="16" max="16" width="9.5" style="1" bestFit="1" customWidth="1"/>
    <col min="17" max="17" width="10.5" style="1" customWidth="1"/>
    <col min="18" max="16384" width="9" style="1"/>
  </cols>
  <sheetData>
    <row r="1" spans="1:17" x14ac:dyDescent="0.2">
      <c r="A1" s="88"/>
      <c r="B1" s="156"/>
      <c r="C1" s="89"/>
      <c r="D1" s="88"/>
      <c r="E1" s="90"/>
      <c r="F1" s="88"/>
      <c r="G1" s="88"/>
      <c r="H1" s="88"/>
      <c r="I1" s="88"/>
      <c r="J1" s="904" t="s">
        <v>96</v>
      </c>
      <c r="K1" s="904"/>
      <c r="L1" s="904"/>
      <c r="M1" s="95"/>
      <c r="N1" s="83"/>
      <c r="O1" s="83"/>
      <c r="P1" s="88"/>
    </row>
    <row r="2" spans="1:17" x14ac:dyDescent="0.2">
      <c r="A2" s="919" t="s">
        <v>17</v>
      </c>
      <c r="B2" s="919"/>
      <c r="C2" s="919"/>
      <c r="D2" s="919"/>
      <c r="E2" s="919"/>
      <c r="F2" s="919"/>
      <c r="G2" s="919"/>
      <c r="H2" s="919"/>
      <c r="I2" s="919"/>
      <c r="J2" s="919"/>
      <c r="K2" s="919"/>
      <c r="L2" s="919"/>
      <c r="M2" s="95"/>
      <c r="N2" s="83"/>
      <c r="O2" s="83"/>
      <c r="P2" s="88"/>
    </row>
    <row r="3" spans="1:17" x14ac:dyDescent="0.2">
      <c r="A3" s="919" t="s">
        <v>18</v>
      </c>
      <c r="B3" s="919"/>
      <c r="C3" s="919"/>
      <c r="D3" s="919"/>
      <c r="E3" s="919"/>
      <c r="F3" s="919"/>
      <c r="G3" s="919"/>
      <c r="H3" s="919"/>
      <c r="I3" s="919"/>
      <c r="J3" s="919"/>
      <c r="K3" s="919"/>
      <c r="L3" s="919"/>
      <c r="M3" s="83"/>
      <c r="N3" s="83"/>
      <c r="O3" s="83"/>
      <c r="P3" s="88"/>
    </row>
    <row r="4" spans="1:17" ht="15" customHeight="1" thickBot="1" x14ac:dyDescent="0.25">
      <c r="A4" s="905" t="s">
        <v>19</v>
      </c>
      <c r="B4" s="905"/>
      <c r="C4" s="91"/>
      <c r="D4" s="92"/>
      <c r="E4" s="93"/>
      <c r="F4" s="920"/>
      <c r="G4" s="920"/>
      <c r="H4" s="920"/>
      <c r="I4" s="920"/>
      <c r="J4" s="920"/>
      <c r="K4" s="920"/>
      <c r="L4" s="94"/>
      <c r="M4" s="96"/>
      <c r="N4" s="83"/>
      <c r="O4" s="83"/>
      <c r="P4" s="88"/>
    </row>
    <row r="5" spans="1:17" x14ac:dyDescent="0.2">
      <c r="A5" s="910" t="s">
        <v>0</v>
      </c>
      <c r="B5" s="912" t="s">
        <v>8</v>
      </c>
      <c r="C5" s="53" t="s">
        <v>20</v>
      </c>
      <c r="D5" s="914" t="s">
        <v>21</v>
      </c>
      <c r="E5" s="916" t="s">
        <v>22</v>
      </c>
      <c r="F5" s="916"/>
      <c r="G5" s="917" t="s">
        <v>23</v>
      </c>
      <c r="H5" s="917"/>
      <c r="I5" s="918" t="s">
        <v>24</v>
      </c>
      <c r="J5" s="918"/>
      <c r="K5" s="908" t="s">
        <v>25</v>
      </c>
      <c r="L5" s="909"/>
      <c r="M5" s="97"/>
      <c r="N5" s="83"/>
      <c r="O5" s="83"/>
      <c r="P5" s="83"/>
      <c r="Q5" s="83"/>
    </row>
    <row r="6" spans="1:17" ht="13.5" thickBot="1" x14ac:dyDescent="0.25">
      <c r="A6" s="911"/>
      <c r="B6" s="913"/>
      <c r="C6" s="119" t="s">
        <v>12</v>
      </c>
      <c r="D6" s="915"/>
      <c r="E6" s="120" t="s">
        <v>26</v>
      </c>
      <c r="F6" s="120" t="s">
        <v>6</v>
      </c>
      <c r="G6" s="141" t="s">
        <v>26</v>
      </c>
      <c r="H6" s="141" t="s">
        <v>6</v>
      </c>
      <c r="I6" s="177" t="s">
        <v>26</v>
      </c>
      <c r="J6" s="177" t="s">
        <v>6</v>
      </c>
      <c r="K6" s="191" t="s">
        <v>26</v>
      </c>
      <c r="L6" s="192" t="s">
        <v>6</v>
      </c>
      <c r="M6" s="97"/>
      <c r="N6" s="83"/>
      <c r="O6" s="83"/>
      <c r="P6" s="83"/>
      <c r="Q6" s="83"/>
    </row>
    <row r="7" spans="1:17" ht="13.5" thickBot="1" x14ac:dyDescent="0.25">
      <c r="A7" s="121" t="s">
        <v>27</v>
      </c>
      <c r="B7" s="157" t="s">
        <v>28</v>
      </c>
      <c r="C7" s="122">
        <v>1</v>
      </c>
      <c r="D7" s="123">
        <v>2</v>
      </c>
      <c r="E7" s="123">
        <v>3</v>
      </c>
      <c r="F7" s="123">
        <v>4</v>
      </c>
      <c r="G7" s="142">
        <v>5</v>
      </c>
      <c r="H7" s="142">
        <v>6</v>
      </c>
      <c r="I7" s="178">
        <v>7</v>
      </c>
      <c r="J7" s="178">
        <v>8</v>
      </c>
      <c r="K7" s="193">
        <v>9</v>
      </c>
      <c r="L7" s="194">
        <v>10</v>
      </c>
      <c r="M7" s="86"/>
      <c r="N7" s="84"/>
      <c r="O7" s="85" t="s">
        <v>2</v>
      </c>
      <c r="P7" s="83"/>
      <c r="Q7" s="83"/>
    </row>
    <row r="8" spans="1:17" x14ac:dyDescent="0.2">
      <c r="A8" s="124">
        <v>1</v>
      </c>
      <c r="B8" s="55" t="s">
        <v>29</v>
      </c>
      <c r="C8" s="56" t="s">
        <v>30</v>
      </c>
      <c r="D8" s="57">
        <v>94250</v>
      </c>
      <c r="E8" s="57">
        <v>455.8</v>
      </c>
      <c r="F8" s="57">
        <f>D8*E8</f>
        <v>42959150</v>
      </c>
      <c r="G8" s="143">
        <v>179</v>
      </c>
      <c r="H8" s="144">
        <f>G8*D8</f>
        <v>16870750</v>
      </c>
      <c r="I8" s="179">
        <v>154</v>
      </c>
      <c r="J8" s="180">
        <f>I8*D8</f>
        <v>14514500</v>
      </c>
      <c r="K8" s="195">
        <v>122.8</v>
      </c>
      <c r="L8" s="196">
        <f>K8*D8</f>
        <v>11573900</v>
      </c>
      <c r="M8" s="86">
        <f>E8-G8-I8-K8</f>
        <v>0</v>
      </c>
      <c r="N8" s="86">
        <f>F8-H8-J8-L8</f>
        <v>0</v>
      </c>
      <c r="O8" s="84">
        <f>F8*100/F$62</f>
        <v>2.1502993538308086</v>
      </c>
      <c r="P8" s="83"/>
      <c r="Q8" s="83"/>
    </row>
    <row r="9" spans="1:17" x14ac:dyDescent="0.2">
      <c r="A9" s="125">
        <v>2</v>
      </c>
      <c r="B9" s="3" t="s">
        <v>31</v>
      </c>
      <c r="C9" s="4" t="s">
        <v>30</v>
      </c>
      <c r="D9" s="6">
        <v>20000</v>
      </c>
      <c r="E9" s="6">
        <v>572</v>
      </c>
      <c r="F9" s="6">
        <f>D9*E9</f>
        <v>11440000</v>
      </c>
      <c r="G9" s="144">
        <v>160</v>
      </c>
      <c r="H9" s="144">
        <f>G9*D9</f>
        <v>3200000</v>
      </c>
      <c r="I9" s="180">
        <v>412</v>
      </c>
      <c r="J9" s="180">
        <f>I9*D9</f>
        <v>8240000</v>
      </c>
      <c r="K9" s="197"/>
      <c r="L9" s="196">
        <f>K9*D9</f>
        <v>0</v>
      </c>
      <c r="M9" s="86"/>
      <c r="N9" s="86"/>
      <c r="O9" s="84"/>
      <c r="P9" s="83"/>
      <c r="Q9" s="83"/>
    </row>
    <row r="10" spans="1:17" x14ac:dyDescent="0.2">
      <c r="A10" s="124">
        <v>3</v>
      </c>
      <c r="B10" s="158" t="s">
        <v>35</v>
      </c>
      <c r="C10" s="59"/>
      <c r="D10" s="59"/>
      <c r="E10" s="59"/>
      <c r="F10" s="6">
        <f>F9</f>
        <v>11440000</v>
      </c>
      <c r="G10" s="145"/>
      <c r="H10" s="144">
        <f>H9</f>
        <v>3200000</v>
      </c>
      <c r="I10" s="181"/>
      <c r="J10" s="180">
        <f>J9</f>
        <v>8240000</v>
      </c>
      <c r="K10" s="198"/>
      <c r="L10" s="196">
        <f>L9</f>
        <v>0</v>
      </c>
      <c r="M10" s="86">
        <f>E10-G10-I10-K10</f>
        <v>0</v>
      </c>
      <c r="N10" s="86">
        <f>F10-H10-J10-L10</f>
        <v>0</v>
      </c>
      <c r="O10" s="84"/>
      <c r="P10" s="83"/>
      <c r="Q10" s="83"/>
    </row>
    <row r="11" spans="1:17" ht="25.5" x14ac:dyDescent="0.2">
      <c r="A11" s="124">
        <v>4</v>
      </c>
      <c r="B11" s="60" t="s">
        <v>36</v>
      </c>
      <c r="C11" s="4" t="s">
        <v>37</v>
      </c>
      <c r="D11" s="6">
        <v>200000</v>
      </c>
      <c r="E11" s="6">
        <v>58</v>
      </c>
      <c r="F11" s="6">
        <f>D11*E11</f>
        <v>11600000</v>
      </c>
      <c r="G11" s="144">
        <v>18</v>
      </c>
      <c r="H11" s="144">
        <f t="shared" ref="H11:H14" si="0">G11*D11</f>
        <v>3600000</v>
      </c>
      <c r="I11" s="180">
        <v>40</v>
      </c>
      <c r="J11" s="180">
        <f t="shared" ref="J11:J14" si="1">I11*D11</f>
        <v>8000000</v>
      </c>
      <c r="K11" s="197"/>
      <c r="L11" s="196">
        <f t="shared" ref="L11:L14" si="2">K11*D11</f>
        <v>0</v>
      </c>
      <c r="M11" s="86">
        <f>E11-G11-I11-K11</f>
        <v>0</v>
      </c>
      <c r="N11" s="86">
        <f t="shared" ref="M11:N62" si="3">F11-H11-J11-L11</f>
        <v>0</v>
      </c>
      <c r="O11" s="84"/>
      <c r="P11" s="83"/>
      <c r="Q11" s="83"/>
    </row>
    <row r="12" spans="1:17" x14ac:dyDescent="0.2">
      <c r="A12" s="125">
        <v>5</v>
      </c>
      <c r="B12" s="3" t="s">
        <v>38</v>
      </c>
      <c r="C12" s="4" t="s">
        <v>9</v>
      </c>
      <c r="D12" s="5">
        <v>240000</v>
      </c>
      <c r="E12" s="5">
        <v>1000</v>
      </c>
      <c r="F12" s="6">
        <f t="shared" ref="F12:F20" si="4">D12*E12</f>
        <v>240000000</v>
      </c>
      <c r="G12" s="144">
        <v>0</v>
      </c>
      <c r="H12" s="144">
        <f t="shared" si="0"/>
        <v>0</v>
      </c>
      <c r="I12" s="180">
        <v>1000</v>
      </c>
      <c r="J12" s="180">
        <f t="shared" si="1"/>
        <v>240000000</v>
      </c>
      <c r="K12" s="197">
        <v>0</v>
      </c>
      <c r="L12" s="196">
        <f t="shared" si="2"/>
        <v>0</v>
      </c>
      <c r="M12" s="86">
        <f t="shared" si="3"/>
        <v>0</v>
      </c>
      <c r="N12" s="86">
        <f t="shared" si="3"/>
        <v>0</v>
      </c>
      <c r="O12" s="84"/>
      <c r="P12" s="83"/>
      <c r="Q12" s="83"/>
    </row>
    <row r="13" spans="1:17" x14ac:dyDescent="0.2">
      <c r="A13" s="124">
        <v>6</v>
      </c>
      <c r="B13" s="3" t="s">
        <v>39</v>
      </c>
      <c r="C13" s="4" t="s">
        <v>40</v>
      </c>
      <c r="D13" s="6">
        <v>35000</v>
      </c>
      <c r="E13" s="6">
        <v>738</v>
      </c>
      <c r="F13" s="6">
        <f t="shared" si="4"/>
        <v>25830000</v>
      </c>
      <c r="G13" s="144">
        <v>251</v>
      </c>
      <c r="H13" s="144">
        <f t="shared" si="0"/>
        <v>8785000</v>
      </c>
      <c r="I13" s="180">
        <f>E13-G13</f>
        <v>487</v>
      </c>
      <c r="J13" s="180">
        <f t="shared" si="1"/>
        <v>17045000</v>
      </c>
      <c r="K13" s="197"/>
      <c r="L13" s="196">
        <f t="shared" si="2"/>
        <v>0</v>
      </c>
      <c r="M13" s="86">
        <f t="shared" si="3"/>
        <v>0</v>
      </c>
      <c r="N13" s="86">
        <f t="shared" si="3"/>
        <v>0</v>
      </c>
      <c r="O13" s="84"/>
      <c r="P13" s="83"/>
      <c r="Q13" s="83"/>
    </row>
    <row r="14" spans="1:17" x14ac:dyDescent="0.2">
      <c r="A14" s="124">
        <v>7</v>
      </c>
      <c r="B14" s="3" t="s">
        <v>41</v>
      </c>
      <c r="C14" s="4" t="s">
        <v>40</v>
      </c>
      <c r="D14" s="6">
        <v>55000</v>
      </c>
      <c r="E14" s="6">
        <v>738</v>
      </c>
      <c r="F14" s="6">
        <f t="shared" si="4"/>
        <v>40590000</v>
      </c>
      <c r="G14" s="144">
        <v>251</v>
      </c>
      <c r="H14" s="144">
        <f t="shared" si="0"/>
        <v>13805000</v>
      </c>
      <c r="I14" s="180">
        <f>E14-G14</f>
        <v>487</v>
      </c>
      <c r="J14" s="180">
        <f t="shared" si="1"/>
        <v>26785000</v>
      </c>
      <c r="K14" s="197"/>
      <c r="L14" s="196">
        <f t="shared" si="2"/>
        <v>0</v>
      </c>
      <c r="M14" s="86">
        <f t="shared" si="3"/>
        <v>0</v>
      </c>
      <c r="N14" s="86">
        <f t="shared" si="3"/>
        <v>0</v>
      </c>
      <c r="O14" s="84"/>
      <c r="P14" s="83"/>
      <c r="Q14" s="83"/>
    </row>
    <row r="15" spans="1:17" x14ac:dyDescent="0.2">
      <c r="A15" s="124">
        <v>8</v>
      </c>
      <c r="B15" s="61" t="s">
        <v>42</v>
      </c>
      <c r="C15" s="62"/>
      <c r="D15" s="5"/>
      <c r="E15" s="5"/>
      <c r="F15" s="5">
        <f>SUM(F11:F14)</f>
        <v>318020000</v>
      </c>
      <c r="G15" s="146"/>
      <c r="H15" s="146">
        <f>SUM(H11:H14)</f>
        <v>26190000</v>
      </c>
      <c r="I15" s="182"/>
      <c r="J15" s="182">
        <f>SUM(J11:J14)</f>
        <v>291830000</v>
      </c>
      <c r="K15" s="199"/>
      <c r="L15" s="200">
        <f>SUM(L11:L14)</f>
        <v>0</v>
      </c>
      <c r="M15" s="86">
        <f>E15-G15-I15-K15</f>
        <v>0</v>
      </c>
      <c r="N15" s="86">
        <f t="shared" si="3"/>
        <v>0</v>
      </c>
      <c r="O15" s="84"/>
      <c r="P15" s="83"/>
      <c r="Q15" s="83"/>
    </row>
    <row r="16" spans="1:17" x14ac:dyDescent="0.2">
      <c r="A16" s="124">
        <v>9</v>
      </c>
      <c r="B16" s="3" t="s">
        <v>11</v>
      </c>
      <c r="C16" s="4" t="s">
        <v>10</v>
      </c>
      <c r="D16" s="6">
        <v>22600</v>
      </c>
      <c r="E16" s="6">
        <v>960</v>
      </c>
      <c r="F16" s="6">
        <f t="shared" si="4"/>
        <v>21696000</v>
      </c>
      <c r="G16" s="144">
        <v>355</v>
      </c>
      <c r="H16" s="144">
        <f t="shared" ref="H16:H20" si="5">G16*D16</f>
        <v>8023000</v>
      </c>
      <c r="I16" s="180">
        <v>605</v>
      </c>
      <c r="J16" s="180">
        <f t="shared" ref="J16:J20" si="6">I16*D16</f>
        <v>13673000</v>
      </c>
      <c r="K16" s="197"/>
      <c r="L16" s="196">
        <f t="shared" ref="L16:L20" si="7">K16*D16</f>
        <v>0</v>
      </c>
      <c r="M16" s="86">
        <f>E16-G16-I16-K16</f>
        <v>0</v>
      </c>
      <c r="N16" s="86">
        <f t="shared" si="3"/>
        <v>0</v>
      </c>
      <c r="O16" s="84"/>
      <c r="P16" s="83"/>
      <c r="Q16" s="83"/>
    </row>
    <row r="17" spans="1:17" x14ac:dyDescent="0.2">
      <c r="A17" s="125">
        <v>10</v>
      </c>
      <c r="B17" s="3" t="s">
        <v>43</v>
      </c>
      <c r="C17" s="4" t="s">
        <v>44</v>
      </c>
      <c r="D17" s="6">
        <v>36500</v>
      </c>
      <c r="E17" s="5">
        <v>150</v>
      </c>
      <c r="F17" s="6">
        <f t="shared" si="4"/>
        <v>5475000</v>
      </c>
      <c r="G17" s="144">
        <v>50</v>
      </c>
      <c r="H17" s="144">
        <f t="shared" si="5"/>
        <v>1825000</v>
      </c>
      <c r="I17" s="180">
        <v>100</v>
      </c>
      <c r="J17" s="180">
        <f t="shared" si="6"/>
        <v>3650000</v>
      </c>
      <c r="K17" s="197">
        <v>0</v>
      </c>
      <c r="L17" s="196">
        <f t="shared" si="7"/>
        <v>0</v>
      </c>
      <c r="M17" s="86">
        <f t="shared" si="3"/>
        <v>0</v>
      </c>
      <c r="N17" s="86">
        <f t="shared" si="3"/>
        <v>0</v>
      </c>
      <c r="O17" s="84"/>
      <c r="P17" s="83"/>
      <c r="Q17" s="83"/>
    </row>
    <row r="18" spans="1:17" x14ac:dyDescent="0.2">
      <c r="A18" s="124">
        <v>11</v>
      </c>
      <c r="B18" s="3" t="s">
        <v>45</v>
      </c>
      <c r="C18" s="4" t="s">
        <v>44</v>
      </c>
      <c r="D18" s="6">
        <v>6000</v>
      </c>
      <c r="E18" s="5">
        <v>350</v>
      </c>
      <c r="F18" s="6">
        <f t="shared" si="4"/>
        <v>2100000</v>
      </c>
      <c r="G18" s="144">
        <v>100</v>
      </c>
      <c r="H18" s="144">
        <f t="shared" si="5"/>
        <v>600000</v>
      </c>
      <c r="I18" s="180">
        <v>250</v>
      </c>
      <c r="J18" s="180">
        <f t="shared" si="6"/>
        <v>1500000</v>
      </c>
      <c r="K18" s="197"/>
      <c r="L18" s="196">
        <f t="shared" si="7"/>
        <v>0</v>
      </c>
      <c r="M18" s="86">
        <f>E18-G18-I18-K18</f>
        <v>0</v>
      </c>
      <c r="N18" s="86">
        <f t="shared" si="3"/>
        <v>0</v>
      </c>
      <c r="O18" s="84"/>
      <c r="P18" s="83"/>
      <c r="Q18" s="83"/>
    </row>
    <row r="19" spans="1:17" x14ac:dyDescent="0.2">
      <c r="A19" s="124">
        <v>12</v>
      </c>
      <c r="B19" s="3" t="s">
        <v>46</v>
      </c>
      <c r="C19" s="4" t="s">
        <v>44</v>
      </c>
      <c r="D19" s="6">
        <v>20500</v>
      </c>
      <c r="E19" s="5">
        <v>40</v>
      </c>
      <c r="F19" s="6">
        <f t="shared" si="4"/>
        <v>820000</v>
      </c>
      <c r="G19" s="144">
        <v>20</v>
      </c>
      <c r="H19" s="144">
        <f t="shared" si="5"/>
        <v>410000</v>
      </c>
      <c r="I19" s="180">
        <v>20</v>
      </c>
      <c r="J19" s="180">
        <f t="shared" si="6"/>
        <v>410000</v>
      </c>
      <c r="K19" s="197"/>
      <c r="L19" s="196">
        <f t="shared" si="7"/>
        <v>0</v>
      </c>
      <c r="M19" s="86">
        <f t="shared" si="3"/>
        <v>0</v>
      </c>
      <c r="N19" s="86">
        <f t="shared" si="3"/>
        <v>0</v>
      </c>
      <c r="O19" s="84"/>
      <c r="P19" s="83"/>
      <c r="Q19" s="83"/>
    </row>
    <row r="20" spans="1:17" x14ac:dyDescent="0.2">
      <c r="A20" s="125">
        <v>13</v>
      </c>
      <c r="B20" s="3" t="s">
        <v>47</v>
      </c>
      <c r="C20" s="4" t="s">
        <v>44</v>
      </c>
      <c r="D20" s="6">
        <v>10000</v>
      </c>
      <c r="E20" s="5">
        <v>356</v>
      </c>
      <c r="F20" s="6">
        <f t="shared" si="4"/>
        <v>3560000</v>
      </c>
      <c r="G20" s="144"/>
      <c r="H20" s="144">
        <f t="shared" si="5"/>
        <v>0</v>
      </c>
      <c r="I20" s="180">
        <v>356</v>
      </c>
      <c r="J20" s="180">
        <f t="shared" si="6"/>
        <v>3560000</v>
      </c>
      <c r="K20" s="197"/>
      <c r="L20" s="196">
        <f t="shared" si="7"/>
        <v>0</v>
      </c>
      <c r="M20" s="86">
        <f t="shared" si="3"/>
        <v>0</v>
      </c>
      <c r="N20" s="86">
        <f t="shared" si="3"/>
        <v>0</v>
      </c>
      <c r="O20" s="84"/>
      <c r="P20" s="83"/>
      <c r="Q20" s="83"/>
    </row>
    <row r="21" spans="1:17" x14ac:dyDescent="0.2">
      <c r="A21" s="124">
        <v>14</v>
      </c>
      <c r="B21" s="61" t="s">
        <v>48</v>
      </c>
      <c r="C21" s="62"/>
      <c r="D21" s="49"/>
      <c r="E21" s="49">
        <f>SUM(E16:E20)</f>
        <v>1856</v>
      </c>
      <c r="F21" s="5">
        <f>SUM(F16:F20)</f>
        <v>33651000</v>
      </c>
      <c r="G21" s="146"/>
      <c r="H21" s="146">
        <f>SUM(H16:H20)</f>
        <v>10858000</v>
      </c>
      <c r="I21" s="182"/>
      <c r="J21" s="182">
        <f>SUM(J16:J20)</f>
        <v>22793000</v>
      </c>
      <c r="K21" s="199"/>
      <c r="L21" s="200">
        <f>SUM(L16:L20)</f>
        <v>0</v>
      </c>
      <c r="M21" s="86">
        <f t="shared" si="3"/>
        <v>1856</v>
      </c>
      <c r="N21" s="86">
        <f t="shared" si="3"/>
        <v>0</v>
      </c>
      <c r="O21" s="84"/>
      <c r="P21" s="83"/>
      <c r="Q21" s="83"/>
    </row>
    <row r="22" spans="1:17" s="8" customFormat="1" x14ac:dyDescent="0.2">
      <c r="A22" s="125">
        <v>15</v>
      </c>
      <c r="B22" s="159" t="s">
        <v>49</v>
      </c>
      <c r="C22" s="64"/>
      <c r="D22" s="63"/>
      <c r="E22" s="63"/>
      <c r="F22" s="63">
        <f>F15+F21</f>
        <v>351671000</v>
      </c>
      <c r="G22" s="147"/>
      <c r="H22" s="147">
        <f>H15+H21</f>
        <v>37048000</v>
      </c>
      <c r="I22" s="183"/>
      <c r="J22" s="183">
        <f>J15+J21</f>
        <v>314623000</v>
      </c>
      <c r="K22" s="201"/>
      <c r="L22" s="202">
        <f>L15+L21</f>
        <v>0</v>
      </c>
      <c r="M22" s="86">
        <f t="shared" si="3"/>
        <v>0</v>
      </c>
      <c r="N22" s="86">
        <f t="shared" si="3"/>
        <v>0</v>
      </c>
      <c r="O22" s="84">
        <f>F22*100/F$62</f>
        <v>17.602720818755362</v>
      </c>
      <c r="P22" s="87"/>
      <c r="Q22" s="87"/>
    </row>
    <row r="23" spans="1:17" x14ac:dyDescent="0.2">
      <c r="A23" s="124">
        <v>16</v>
      </c>
      <c r="B23" s="3" t="s">
        <v>64</v>
      </c>
      <c r="C23" s="4" t="s">
        <v>10</v>
      </c>
      <c r="D23" s="6">
        <v>20000</v>
      </c>
      <c r="E23" s="6">
        <v>700</v>
      </c>
      <c r="F23" s="6">
        <f t="shared" ref="F23:F30" si="8">D23*E23</f>
        <v>14000000</v>
      </c>
      <c r="G23" s="144">
        <v>200</v>
      </c>
      <c r="H23" s="144">
        <f t="shared" ref="H23:H28" si="9">G23*D23</f>
        <v>4000000</v>
      </c>
      <c r="I23" s="180">
        <v>500</v>
      </c>
      <c r="J23" s="180">
        <f t="shared" ref="J23:J30" si="10">I23*D23</f>
        <v>10000000</v>
      </c>
      <c r="K23" s="197"/>
      <c r="L23" s="196">
        <f t="shared" ref="L23:L30" si="11">K23*D23</f>
        <v>0</v>
      </c>
      <c r="M23" s="86">
        <f t="shared" ref="M23" si="12">E23-G23-I23-K23</f>
        <v>0</v>
      </c>
      <c r="N23" s="86">
        <f t="shared" si="3"/>
        <v>0</v>
      </c>
      <c r="O23" s="84"/>
      <c r="P23" s="83"/>
      <c r="Q23" s="83"/>
    </row>
    <row r="24" spans="1:17" x14ac:dyDescent="0.2">
      <c r="A24" s="124">
        <v>17</v>
      </c>
      <c r="B24" s="3" t="s">
        <v>65</v>
      </c>
      <c r="C24" s="4"/>
      <c r="D24" s="6">
        <v>35000</v>
      </c>
      <c r="E24" s="6">
        <v>700</v>
      </c>
      <c r="F24" s="6">
        <f t="shared" si="8"/>
        <v>24500000</v>
      </c>
      <c r="G24" s="144">
        <v>200</v>
      </c>
      <c r="H24" s="144">
        <f t="shared" si="9"/>
        <v>7000000</v>
      </c>
      <c r="I24" s="180">
        <v>500</v>
      </c>
      <c r="J24" s="180">
        <f t="shared" si="10"/>
        <v>17500000</v>
      </c>
      <c r="K24" s="197"/>
      <c r="L24" s="196">
        <f t="shared" si="11"/>
        <v>0</v>
      </c>
      <c r="M24" s="86">
        <f t="shared" si="3"/>
        <v>0</v>
      </c>
      <c r="N24" s="86">
        <f t="shared" si="3"/>
        <v>0</v>
      </c>
      <c r="O24" s="84"/>
      <c r="P24" s="83"/>
      <c r="Q24" s="83"/>
    </row>
    <row r="25" spans="1:17" x14ac:dyDescent="0.2">
      <c r="A25" s="125">
        <v>18</v>
      </c>
      <c r="B25" s="3" t="s">
        <v>66</v>
      </c>
      <c r="C25" s="4" t="s">
        <v>10</v>
      </c>
      <c r="D25" s="6">
        <v>30000</v>
      </c>
      <c r="E25" s="6">
        <v>90</v>
      </c>
      <c r="F25" s="6">
        <f t="shared" si="8"/>
        <v>2700000</v>
      </c>
      <c r="G25" s="144">
        <v>20</v>
      </c>
      <c r="H25" s="144">
        <f t="shared" si="9"/>
        <v>600000</v>
      </c>
      <c r="I25" s="180">
        <v>70</v>
      </c>
      <c r="J25" s="180">
        <f t="shared" si="10"/>
        <v>2100000</v>
      </c>
      <c r="K25" s="197"/>
      <c r="L25" s="196">
        <f t="shared" si="11"/>
        <v>0</v>
      </c>
      <c r="M25" s="86">
        <f t="shared" si="3"/>
        <v>0</v>
      </c>
      <c r="N25" s="86">
        <f t="shared" si="3"/>
        <v>0</v>
      </c>
      <c r="O25" s="84"/>
      <c r="P25" s="83"/>
      <c r="Q25" s="83"/>
    </row>
    <row r="26" spans="1:17" x14ac:dyDescent="0.2">
      <c r="A26" s="124">
        <v>19</v>
      </c>
      <c r="B26" s="3" t="s">
        <v>67</v>
      </c>
      <c r="C26" s="4" t="s">
        <v>10</v>
      </c>
      <c r="D26" s="6">
        <v>180000</v>
      </c>
      <c r="E26" s="6">
        <v>400</v>
      </c>
      <c r="F26" s="6">
        <f t="shared" si="8"/>
        <v>72000000</v>
      </c>
      <c r="G26" s="144">
        <v>100</v>
      </c>
      <c r="H26" s="144">
        <f t="shared" si="9"/>
        <v>18000000</v>
      </c>
      <c r="I26" s="180">
        <v>300</v>
      </c>
      <c r="J26" s="180">
        <f t="shared" si="10"/>
        <v>54000000</v>
      </c>
      <c r="K26" s="197"/>
      <c r="L26" s="196">
        <f t="shared" si="11"/>
        <v>0</v>
      </c>
      <c r="M26" s="86">
        <f t="shared" si="3"/>
        <v>0</v>
      </c>
      <c r="N26" s="86">
        <f t="shared" si="3"/>
        <v>0</v>
      </c>
      <c r="O26" s="84"/>
      <c r="P26" s="83"/>
      <c r="Q26" s="83"/>
    </row>
    <row r="27" spans="1:17" x14ac:dyDescent="0.2">
      <c r="A27" s="124">
        <v>20</v>
      </c>
      <c r="B27" s="3" t="s">
        <v>68</v>
      </c>
      <c r="C27" s="4" t="s">
        <v>10</v>
      </c>
      <c r="D27" s="6">
        <v>160000</v>
      </c>
      <c r="E27" s="6">
        <v>120</v>
      </c>
      <c r="F27" s="6">
        <f t="shared" si="8"/>
        <v>19200000</v>
      </c>
      <c r="G27" s="144">
        <v>50</v>
      </c>
      <c r="H27" s="144">
        <f t="shared" si="9"/>
        <v>8000000</v>
      </c>
      <c r="I27" s="180">
        <v>70</v>
      </c>
      <c r="J27" s="180">
        <f t="shared" si="10"/>
        <v>11200000</v>
      </c>
      <c r="K27" s="197"/>
      <c r="L27" s="196">
        <f t="shared" si="11"/>
        <v>0</v>
      </c>
      <c r="M27" s="86">
        <f t="shared" si="3"/>
        <v>0</v>
      </c>
      <c r="N27" s="86">
        <f t="shared" si="3"/>
        <v>0</v>
      </c>
      <c r="O27" s="84"/>
      <c r="P27" s="83"/>
      <c r="Q27" s="83"/>
    </row>
    <row r="28" spans="1:17" x14ac:dyDescent="0.2">
      <c r="A28" s="124">
        <v>21</v>
      </c>
      <c r="B28" s="3" t="s">
        <v>69</v>
      </c>
      <c r="C28" s="4" t="s">
        <v>10</v>
      </c>
      <c r="D28" s="13">
        <v>10000</v>
      </c>
      <c r="E28" s="14">
        <v>46</v>
      </c>
      <c r="F28" s="6">
        <f t="shared" si="8"/>
        <v>460000</v>
      </c>
      <c r="G28" s="148">
        <v>20</v>
      </c>
      <c r="H28" s="144">
        <f t="shared" si="9"/>
        <v>200000</v>
      </c>
      <c r="I28" s="184">
        <v>26</v>
      </c>
      <c r="J28" s="180">
        <f t="shared" si="10"/>
        <v>260000</v>
      </c>
      <c r="K28" s="197"/>
      <c r="L28" s="196">
        <f t="shared" si="11"/>
        <v>0</v>
      </c>
      <c r="M28" s="86">
        <f t="shared" si="3"/>
        <v>0</v>
      </c>
      <c r="N28" s="86">
        <f t="shared" si="3"/>
        <v>0</v>
      </c>
      <c r="O28" s="84"/>
      <c r="P28" s="83"/>
      <c r="Q28" s="83"/>
    </row>
    <row r="29" spans="1:17" x14ac:dyDescent="0.2">
      <c r="A29" s="124">
        <v>22</v>
      </c>
      <c r="B29" s="12" t="s">
        <v>70</v>
      </c>
      <c r="C29" s="10" t="s">
        <v>10</v>
      </c>
      <c r="D29" s="6">
        <v>6500</v>
      </c>
      <c r="E29" s="6">
        <v>546</v>
      </c>
      <c r="F29" s="6">
        <f t="shared" si="8"/>
        <v>3549000</v>
      </c>
      <c r="G29" s="144">
        <v>215</v>
      </c>
      <c r="H29" s="144">
        <f>G29*D29</f>
        <v>1397500</v>
      </c>
      <c r="I29" s="180">
        <v>331</v>
      </c>
      <c r="J29" s="180">
        <f t="shared" si="10"/>
        <v>2151500</v>
      </c>
      <c r="K29" s="197"/>
      <c r="L29" s="196">
        <f t="shared" si="11"/>
        <v>0</v>
      </c>
      <c r="M29" s="86">
        <f t="shared" si="3"/>
        <v>0</v>
      </c>
      <c r="N29" s="86">
        <f t="shared" si="3"/>
        <v>0</v>
      </c>
      <c r="O29" s="84"/>
      <c r="P29" s="83"/>
      <c r="Q29" s="83"/>
    </row>
    <row r="30" spans="1:17" x14ac:dyDescent="0.2">
      <c r="A30" s="125">
        <v>23</v>
      </c>
      <c r="B30" s="12" t="s">
        <v>71</v>
      </c>
      <c r="C30" s="10" t="s">
        <v>10</v>
      </c>
      <c r="D30" s="6">
        <v>20000</v>
      </c>
      <c r="E30" s="6">
        <v>1000</v>
      </c>
      <c r="F30" s="6">
        <f t="shared" si="8"/>
        <v>20000000</v>
      </c>
      <c r="G30" s="144">
        <v>400</v>
      </c>
      <c r="H30" s="144">
        <f>G30*D30</f>
        <v>8000000</v>
      </c>
      <c r="I30" s="180">
        <v>600</v>
      </c>
      <c r="J30" s="180">
        <f t="shared" si="10"/>
        <v>12000000</v>
      </c>
      <c r="K30" s="197"/>
      <c r="L30" s="196">
        <f t="shared" si="11"/>
        <v>0</v>
      </c>
      <c r="M30" s="86">
        <f t="shared" si="3"/>
        <v>0</v>
      </c>
      <c r="N30" s="86">
        <f t="shared" si="3"/>
        <v>0</v>
      </c>
      <c r="O30" s="84"/>
      <c r="P30" s="83"/>
      <c r="Q30" s="83"/>
    </row>
    <row r="31" spans="1:17" x14ac:dyDescent="0.2">
      <c r="A31" s="124">
        <v>24</v>
      </c>
      <c r="B31" s="65" t="s">
        <v>72</v>
      </c>
      <c r="C31" s="10"/>
      <c r="D31" s="6">
        <f>E31+E51</f>
        <v>1856</v>
      </c>
      <c r="E31" s="66">
        <f>SUM(E24:E28)</f>
        <v>1356</v>
      </c>
      <c r="F31" s="5">
        <f>SUM(F23:F30)</f>
        <v>156409000</v>
      </c>
      <c r="G31" s="144"/>
      <c r="H31" s="146">
        <f>SUM(H23:H30)</f>
        <v>47197500</v>
      </c>
      <c r="I31" s="180"/>
      <c r="J31" s="182">
        <f>SUM(J23:J30)</f>
        <v>109211500</v>
      </c>
      <c r="K31" s="197"/>
      <c r="L31" s="200">
        <f>SUM(L23:L30)</f>
        <v>0</v>
      </c>
      <c r="M31" s="86">
        <f t="shared" si="3"/>
        <v>1356</v>
      </c>
      <c r="N31" s="86">
        <f t="shared" si="3"/>
        <v>0</v>
      </c>
      <c r="O31" s="84"/>
      <c r="P31" s="83"/>
      <c r="Q31" s="83"/>
    </row>
    <row r="32" spans="1:17" x14ac:dyDescent="0.2">
      <c r="A32" s="124">
        <v>25</v>
      </c>
      <c r="B32" s="3" t="s">
        <v>50</v>
      </c>
      <c r="C32" s="4" t="s">
        <v>51</v>
      </c>
      <c r="D32" s="6">
        <v>4000</v>
      </c>
      <c r="E32" s="9">
        <f>15360000*59/100/1000</f>
        <v>9062.4</v>
      </c>
      <c r="F32" s="6">
        <f>D32*E32</f>
        <v>36249600</v>
      </c>
      <c r="G32" s="144">
        <f>E32/3</f>
        <v>3020.7999999999997</v>
      </c>
      <c r="H32" s="144">
        <f t="shared" ref="H32:H34" si="13">G32*D32</f>
        <v>12083199.999999998</v>
      </c>
      <c r="I32" s="180">
        <v>6041.6</v>
      </c>
      <c r="J32" s="180">
        <f t="shared" ref="J32:J39" si="14">I32*D32</f>
        <v>24166400</v>
      </c>
      <c r="K32" s="197"/>
      <c r="L32" s="196">
        <f>K32*D32</f>
        <v>0</v>
      </c>
      <c r="M32" s="86">
        <f t="shared" si="3"/>
        <v>0</v>
      </c>
      <c r="N32" s="86">
        <f t="shared" si="3"/>
        <v>0</v>
      </c>
      <c r="O32" s="84"/>
      <c r="P32" s="88"/>
    </row>
    <row r="33" spans="1:16" x14ac:dyDescent="0.2">
      <c r="A33" s="125">
        <v>26</v>
      </c>
      <c r="B33" s="3" t="s">
        <v>52</v>
      </c>
      <c r="C33" s="4" t="s">
        <v>53</v>
      </c>
      <c r="D33" s="6">
        <f>92811*0.1+92811</f>
        <v>102092.1</v>
      </c>
      <c r="E33" s="6">
        <v>270</v>
      </c>
      <c r="F33" s="6">
        <f>D33*E33</f>
        <v>27564867</v>
      </c>
      <c r="G33" s="144">
        <v>90</v>
      </c>
      <c r="H33" s="144">
        <f t="shared" si="13"/>
        <v>9188289</v>
      </c>
      <c r="I33" s="180">
        <v>90</v>
      </c>
      <c r="J33" s="180">
        <f t="shared" si="14"/>
        <v>9188289</v>
      </c>
      <c r="K33" s="197">
        <v>90</v>
      </c>
      <c r="L33" s="196">
        <f t="shared" ref="L33:L36" si="15">K33*D33</f>
        <v>9188289</v>
      </c>
      <c r="M33" s="86">
        <f t="shared" si="3"/>
        <v>0</v>
      </c>
      <c r="N33" s="86">
        <f t="shared" si="3"/>
        <v>0</v>
      </c>
      <c r="O33" s="84"/>
      <c r="P33" s="88"/>
    </row>
    <row r="34" spans="1:16" ht="25.5" x14ac:dyDescent="0.2">
      <c r="A34" s="124">
        <v>27</v>
      </c>
      <c r="B34" s="67" t="s">
        <v>54</v>
      </c>
      <c r="C34" s="4" t="s">
        <v>53</v>
      </c>
      <c r="D34" s="6">
        <f>92846*0.1+92846</f>
        <v>102130.6</v>
      </c>
      <c r="E34" s="6">
        <f>G34+I34+K34</f>
        <v>2101</v>
      </c>
      <c r="F34" s="6">
        <f>D34*E34</f>
        <v>214576390.60000002</v>
      </c>
      <c r="G34" s="144">
        <v>1201</v>
      </c>
      <c r="H34" s="144">
        <f t="shared" si="13"/>
        <v>122658850.60000001</v>
      </c>
      <c r="I34" s="180">
        <v>540</v>
      </c>
      <c r="J34" s="180">
        <f t="shared" si="14"/>
        <v>55150524</v>
      </c>
      <c r="K34" s="197">
        <v>360</v>
      </c>
      <c r="L34" s="196">
        <f t="shared" si="15"/>
        <v>36767016</v>
      </c>
      <c r="M34" s="86">
        <f t="shared" si="3"/>
        <v>0</v>
      </c>
      <c r="N34" s="86">
        <f t="shared" si="3"/>
        <v>0</v>
      </c>
      <c r="O34" s="84"/>
      <c r="P34" s="88"/>
    </row>
    <row r="35" spans="1:16" x14ac:dyDescent="0.2">
      <c r="A35" s="125">
        <v>28</v>
      </c>
      <c r="B35" s="67" t="s">
        <v>55</v>
      </c>
      <c r="C35" s="4" t="s">
        <v>33</v>
      </c>
      <c r="D35" s="6">
        <v>4000000</v>
      </c>
      <c r="E35" s="6">
        <v>41</v>
      </c>
      <c r="F35" s="6">
        <f t="shared" ref="F35:F39" si="16">D35*E35</f>
        <v>164000000</v>
      </c>
      <c r="G35" s="144">
        <v>10</v>
      </c>
      <c r="H35" s="144">
        <f t="shared" ref="H35:H39" si="17">G35*D35</f>
        <v>40000000</v>
      </c>
      <c r="I35" s="180">
        <v>20</v>
      </c>
      <c r="J35" s="180">
        <f t="shared" si="14"/>
        <v>80000000</v>
      </c>
      <c r="K35" s="197">
        <v>11</v>
      </c>
      <c r="L35" s="196">
        <f t="shared" si="15"/>
        <v>44000000</v>
      </c>
      <c r="M35" s="86">
        <f t="shared" si="3"/>
        <v>0</v>
      </c>
      <c r="N35" s="86">
        <f t="shared" si="3"/>
        <v>0</v>
      </c>
      <c r="O35" s="84"/>
      <c r="P35" s="88"/>
    </row>
    <row r="36" spans="1:16" ht="25.5" x14ac:dyDescent="0.2">
      <c r="A36" s="124">
        <v>29</v>
      </c>
      <c r="B36" s="68" t="s">
        <v>56</v>
      </c>
      <c r="C36" s="4" t="s">
        <v>33</v>
      </c>
      <c r="D36" s="6">
        <v>4000000</v>
      </c>
      <c r="E36" s="6">
        <v>41</v>
      </c>
      <c r="F36" s="6">
        <f t="shared" si="16"/>
        <v>164000000</v>
      </c>
      <c r="G36" s="144"/>
      <c r="H36" s="144">
        <f t="shared" si="17"/>
        <v>0</v>
      </c>
      <c r="I36" s="180"/>
      <c r="J36" s="180">
        <f t="shared" si="14"/>
        <v>0</v>
      </c>
      <c r="K36" s="197">
        <v>41</v>
      </c>
      <c r="L36" s="196">
        <f t="shared" si="15"/>
        <v>164000000</v>
      </c>
      <c r="M36" s="86">
        <f t="shared" si="3"/>
        <v>0</v>
      </c>
      <c r="N36" s="86">
        <f t="shared" si="3"/>
        <v>0</v>
      </c>
      <c r="O36" s="84"/>
      <c r="P36" s="88"/>
    </row>
    <row r="37" spans="1:16" ht="25.5" x14ac:dyDescent="0.2">
      <c r="A37" s="124">
        <v>30</v>
      </c>
      <c r="B37" s="67" t="s">
        <v>57</v>
      </c>
      <c r="C37" s="4" t="s">
        <v>53</v>
      </c>
      <c r="D37" s="6">
        <f>92846</f>
        <v>92846</v>
      </c>
      <c r="E37" s="6">
        <v>1017</v>
      </c>
      <c r="F37" s="6">
        <f t="shared" si="16"/>
        <v>94424382</v>
      </c>
      <c r="G37" s="144"/>
      <c r="H37" s="144"/>
      <c r="I37" s="180"/>
      <c r="J37" s="180"/>
      <c r="K37" s="197">
        <f>E37</f>
        <v>1017</v>
      </c>
      <c r="L37" s="196">
        <f>F37</f>
        <v>94424382</v>
      </c>
      <c r="M37" s="86"/>
      <c r="N37" s="86"/>
      <c r="O37" s="84"/>
      <c r="P37" s="88"/>
    </row>
    <row r="38" spans="1:16" x14ac:dyDescent="0.2">
      <c r="A38" s="125">
        <v>31</v>
      </c>
      <c r="B38" s="68" t="s">
        <v>16</v>
      </c>
      <c r="C38" s="4" t="s">
        <v>58</v>
      </c>
      <c r="D38" s="6">
        <f>93160.75*0.1+93160.75</f>
        <v>102476.825</v>
      </c>
      <c r="E38" s="11">
        <v>1017.6</v>
      </c>
      <c r="F38" s="6">
        <f t="shared" si="16"/>
        <v>104280417.12</v>
      </c>
      <c r="G38" s="144"/>
      <c r="H38" s="144">
        <f t="shared" si="17"/>
        <v>0</v>
      </c>
      <c r="I38" s="180"/>
      <c r="J38" s="180">
        <f t="shared" si="14"/>
        <v>0</v>
      </c>
      <c r="K38" s="203">
        <v>1017.6</v>
      </c>
      <c r="L38" s="196">
        <f>K38*D38</f>
        <v>104280417.12</v>
      </c>
      <c r="M38" s="86">
        <f t="shared" si="3"/>
        <v>0</v>
      </c>
      <c r="N38" s="86">
        <f t="shared" si="3"/>
        <v>0</v>
      </c>
      <c r="O38" s="84"/>
      <c r="P38" s="88"/>
    </row>
    <row r="39" spans="1:16" x14ac:dyDescent="0.2">
      <c r="A39" s="124">
        <v>32</v>
      </c>
      <c r="B39" s="9" t="s">
        <v>59</v>
      </c>
      <c r="C39" s="10" t="s">
        <v>60</v>
      </c>
      <c r="D39" s="6">
        <f>123810*0.1+123810</f>
        <v>136191</v>
      </c>
      <c r="E39" s="6">
        <v>164</v>
      </c>
      <c r="F39" s="6">
        <f t="shared" si="16"/>
        <v>22335324</v>
      </c>
      <c r="G39" s="144">
        <v>0</v>
      </c>
      <c r="H39" s="144">
        <f t="shared" si="17"/>
        <v>0</v>
      </c>
      <c r="I39" s="180">
        <v>0</v>
      </c>
      <c r="J39" s="180">
        <f t="shared" si="14"/>
        <v>0</v>
      </c>
      <c r="K39" s="197">
        <v>164</v>
      </c>
      <c r="L39" s="196">
        <f>K39*D39</f>
        <v>22335324</v>
      </c>
      <c r="M39" s="86">
        <f t="shared" si="3"/>
        <v>0</v>
      </c>
      <c r="N39" s="86">
        <f t="shared" si="3"/>
        <v>0</v>
      </c>
      <c r="O39" s="84"/>
      <c r="P39" s="88"/>
    </row>
    <row r="40" spans="1:16" x14ac:dyDescent="0.2">
      <c r="A40" s="124">
        <v>33</v>
      </c>
      <c r="B40" s="61" t="s">
        <v>61</v>
      </c>
      <c r="C40" s="62"/>
      <c r="D40" s="5"/>
      <c r="E40" s="5"/>
      <c r="F40" s="5">
        <f>SUM(F32:F39)</f>
        <v>827430980.72000003</v>
      </c>
      <c r="G40" s="146"/>
      <c r="H40" s="146">
        <f>SUM(H32:H39)</f>
        <v>183930339.60000002</v>
      </c>
      <c r="I40" s="182"/>
      <c r="J40" s="182">
        <f>SUM(J32:J39)</f>
        <v>168505213</v>
      </c>
      <c r="K40" s="199"/>
      <c r="L40" s="200">
        <f>SUM(L32:L39)</f>
        <v>474995428.12</v>
      </c>
      <c r="M40" s="86">
        <f t="shared" si="3"/>
        <v>0</v>
      </c>
      <c r="N40" s="86">
        <f t="shared" si="3"/>
        <v>0</v>
      </c>
      <c r="O40" s="84">
        <f>F40*100/F$62</f>
        <v>41.416655198759948</v>
      </c>
      <c r="P40" s="88"/>
    </row>
    <row r="41" spans="1:16" x14ac:dyDescent="0.2">
      <c r="A41" s="124">
        <v>34</v>
      </c>
      <c r="B41" s="12" t="s">
        <v>13</v>
      </c>
      <c r="C41" s="10" t="s">
        <v>3</v>
      </c>
      <c r="D41" s="5">
        <v>1200</v>
      </c>
      <c r="E41" s="69">
        <v>3090</v>
      </c>
      <c r="F41" s="6">
        <f t="shared" ref="F41:F43" si="18">D41*E41</f>
        <v>3708000</v>
      </c>
      <c r="G41" s="146"/>
      <c r="H41" s="144">
        <f t="shared" ref="H41:H45" si="19">G41*D41</f>
        <v>0</v>
      </c>
      <c r="I41" s="182">
        <v>3090</v>
      </c>
      <c r="J41" s="180">
        <f t="shared" ref="J41:J43" si="20">I41*D41</f>
        <v>3708000</v>
      </c>
      <c r="K41" s="197"/>
      <c r="L41" s="196">
        <f t="shared" ref="L41:L43" si="21">K41*D41</f>
        <v>0</v>
      </c>
      <c r="M41" s="86">
        <f t="shared" si="3"/>
        <v>0</v>
      </c>
      <c r="N41" s="86">
        <f t="shared" si="3"/>
        <v>0</v>
      </c>
      <c r="O41" s="84"/>
      <c r="P41" s="88"/>
    </row>
    <row r="42" spans="1:16" x14ac:dyDescent="0.2">
      <c r="A42" s="124">
        <v>35</v>
      </c>
      <c r="B42" s="12" t="s">
        <v>62</v>
      </c>
      <c r="C42" s="10" t="s">
        <v>3</v>
      </c>
      <c r="D42" s="6">
        <v>1515</v>
      </c>
      <c r="E42" s="6">
        <v>52802</v>
      </c>
      <c r="F42" s="6">
        <f t="shared" si="18"/>
        <v>79995030</v>
      </c>
      <c r="G42" s="144">
        <v>22802</v>
      </c>
      <c r="H42" s="144">
        <f t="shared" si="19"/>
        <v>34545030</v>
      </c>
      <c r="I42" s="180">
        <v>30000</v>
      </c>
      <c r="J42" s="180">
        <f t="shared" si="20"/>
        <v>45450000</v>
      </c>
      <c r="K42" s="197"/>
      <c r="L42" s="196">
        <f t="shared" si="21"/>
        <v>0</v>
      </c>
      <c r="M42" s="86">
        <f t="shared" si="3"/>
        <v>0</v>
      </c>
      <c r="N42" s="86">
        <f t="shared" si="3"/>
        <v>0</v>
      </c>
      <c r="O42" s="84"/>
      <c r="P42" s="88"/>
    </row>
    <row r="43" spans="1:16" x14ac:dyDescent="0.2">
      <c r="A43" s="125">
        <v>36</v>
      </c>
      <c r="B43" s="12" t="s">
        <v>14</v>
      </c>
      <c r="C43" s="10" t="s">
        <v>40</v>
      </c>
      <c r="D43" s="6">
        <v>1560</v>
      </c>
      <c r="E43" s="6">
        <v>3090</v>
      </c>
      <c r="F43" s="6">
        <f t="shared" si="18"/>
        <v>4820400</v>
      </c>
      <c r="G43" s="146"/>
      <c r="H43" s="144">
        <f t="shared" si="19"/>
        <v>0</v>
      </c>
      <c r="I43" s="182">
        <v>3090</v>
      </c>
      <c r="J43" s="180">
        <f t="shared" si="20"/>
        <v>4820400</v>
      </c>
      <c r="K43" s="197"/>
      <c r="L43" s="196">
        <f t="shared" si="21"/>
        <v>0</v>
      </c>
      <c r="M43" s="86">
        <f t="shared" si="3"/>
        <v>0</v>
      </c>
      <c r="N43" s="86">
        <f t="shared" si="3"/>
        <v>0</v>
      </c>
      <c r="O43" s="84"/>
      <c r="P43" s="88"/>
    </row>
    <row r="44" spans="1:16" s="88" customFormat="1" x14ac:dyDescent="0.2">
      <c r="A44" s="173">
        <v>37</v>
      </c>
      <c r="B44" s="174" t="s">
        <v>63</v>
      </c>
      <c r="C44" s="175"/>
      <c r="D44" s="176"/>
      <c r="E44" s="176"/>
      <c r="F44" s="176">
        <f>SUM(F41:F43)</f>
        <v>88523430</v>
      </c>
      <c r="G44" s="146"/>
      <c r="H44" s="146">
        <f>SUM(H41:H43)</f>
        <v>34545030</v>
      </c>
      <c r="I44" s="182"/>
      <c r="J44" s="182">
        <f>SUM(J41:J43)</f>
        <v>53978400</v>
      </c>
      <c r="K44" s="199"/>
      <c r="L44" s="200">
        <f>SUM(L41:L43)</f>
        <v>0</v>
      </c>
      <c r="M44" s="86">
        <f t="shared" si="3"/>
        <v>0</v>
      </c>
      <c r="N44" s="86">
        <f t="shared" si="3"/>
        <v>0</v>
      </c>
      <c r="O44" s="84">
        <f>F44*100/F$62</f>
        <v>4.4309972224284424</v>
      </c>
    </row>
    <row r="45" spans="1:16" ht="13.5" thickBot="1" x14ac:dyDescent="0.25">
      <c r="A45" s="126">
        <v>38</v>
      </c>
      <c r="B45" s="161" t="s">
        <v>7</v>
      </c>
      <c r="C45" s="127" t="s">
        <v>58</v>
      </c>
      <c r="D45" s="128">
        <v>15000</v>
      </c>
      <c r="E45" s="128">
        <v>7440</v>
      </c>
      <c r="F45" s="128">
        <f t="shared" ref="F45" si="22">D45*E45</f>
        <v>111600000</v>
      </c>
      <c r="G45" s="149">
        <f>E45/3</f>
        <v>2480</v>
      </c>
      <c r="H45" s="149">
        <f t="shared" si="19"/>
        <v>37200000</v>
      </c>
      <c r="I45" s="185">
        <f>E45-G45</f>
        <v>4960</v>
      </c>
      <c r="J45" s="185">
        <f>I45*D45</f>
        <v>74400000</v>
      </c>
      <c r="K45" s="204">
        <v>0</v>
      </c>
      <c r="L45" s="205">
        <f>K45*D45</f>
        <v>0</v>
      </c>
      <c r="M45" s="86">
        <f t="shared" si="3"/>
        <v>0</v>
      </c>
      <c r="N45" s="86">
        <f t="shared" si="3"/>
        <v>0</v>
      </c>
      <c r="O45" s="84"/>
      <c r="P45" s="88"/>
    </row>
    <row r="46" spans="1:16" ht="13.5" thickBot="1" x14ac:dyDescent="0.25">
      <c r="A46" s="114">
        <v>39</v>
      </c>
      <c r="B46" s="162" t="s">
        <v>84</v>
      </c>
      <c r="C46" s="115"/>
      <c r="D46" s="116"/>
      <c r="E46" s="117"/>
      <c r="F46" s="118">
        <f>F8+F10+F22+F40+F44+F45+F31</f>
        <v>1590033560.72</v>
      </c>
      <c r="G46" s="150"/>
      <c r="H46" s="151">
        <f>H8+H10+H22+H40+H44+H45+H31</f>
        <v>359991619.60000002</v>
      </c>
      <c r="I46" s="186"/>
      <c r="J46" s="187">
        <f>J8+J10+J22+J40+J44+J45+J31</f>
        <v>743472613</v>
      </c>
      <c r="K46" s="206"/>
      <c r="L46" s="207">
        <f>L8+L10+L22+L40+L44+L45+L31</f>
        <v>486569328.12</v>
      </c>
      <c r="M46" s="86">
        <f>E46-G46-I46-K46</f>
        <v>0</v>
      </c>
      <c r="N46" s="86">
        <f>F46-H46-J46-L46</f>
        <v>0</v>
      </c>
      <c r="O46" s="84">
        <f>F46*100/F$62</f>
        <v>79.58835633818444</v>
      </c>
      <c r="P46" s="88"/>
    </row>
    <row r="47" spans="1:16" x14ac:dyDescent="0.2">
      <c r="A47" s="54">
        <v>40</v>
      </c>
      <c r="B47" s="55" t="s">
        <v>73</v>
      </c>
      <c r="C47" s="56" t="s">
        <v>10</v>
      </c>
      <c r="D47" s="57">
        <v>80000</v>
      </c>
      <c r="E47" s="57">
        <v>100</v>
      </c>
      <c r="F47" s="57">
        <f t="shared" ref="F47:F50" si="23">D47*E47</f>
        <v>8000000</v>
      </c>
      <c r="G47" s="143">
        <v>40</v>
      </c>
      <c r="H47" s="143">
        <f t="shared" ref="H47:H50" si="24">G47*D47</f>
        <v>3200000</v>
      </c>
      <c r="I47" s="179">
        <v>60</v>
      </c>
      <c r="J47" s="179">
        <f t="shared" ref="J47:J50" si="25">I47*D47</f>
        <v>4800000</v>
      </c>
      <c r="K47" s="195"/>
      <c r="L47" s="195">
        <f t="shared" ref="L47:L50" si="26">K47*D47</f>
        <v>0</v>
      </c>
      <c r="M47" s="86">
        <f t="shared" si="3"/>
        <v>0</v>
      </c>
      <c r="N47" s="86">
        <f t="shared" si="3"/>
        <v>0</v>
      </c>
      <c r="O47" s="84"/>
      <c r="P47" s="88"/>
    </row>
    <row r="48" spans="1:16" x14ac:dyDescent="0.2">
      <c r="A48" s="58">
        <v>41</v>
      </c>
      <c r="B48" s="3" t="s">
        <v>74</v>
      </c>
      <c r="C48" s="4" t="s">
        <v>10</v>
      </c>
      <c r="D48" s="6">
        <v>36000</v>
      </c>
      <c r="E48" s="6">
        <v>200</v>
      </c>
      <c r="F48" s="6">
        <f t="shared" si="23"/>
        <v>7200000</v>
      </c>
      <c r="G48" s="144">
        <v>65</v>
      </c>
      <c r="H48" s="144">
        <f t="shared" si="24"/>
        <v>2340000</v>
      </c>
      <c r="I48" s="180">
        <v>135</v>
      </c>
      <c r="J48" s="180">
        <f t="shared" si="25"/>
        <v>4860000</v>
      </c>
      <c r="K48" s="197"/>
      <c r="L48" s="197">
        <f t="shared" si="26"/>
        <v>0</v>
      </c>
      <c r="M48" s="86">
        <f t="shared" si="3"/>
        <v>0</v>
      </c>
      <c r="N48" s="86">
        <f t="shared" si="3"/>
        <v>0</v>
      </c>
      <c r="O48" s="84"/>
      <c r="P48" s="88"/>
    </row>
    <row r="49" spans="1:16" x14ac:dyDescent="0.2">
      <c r="A49" s="54">
        <v>42</v>
      </c>
      <c r="B49" s="3" t="s">
        <v>75</v>
      </c>
      <c r="C49" s="4" t="s">
        <v>10</v>
      </c>
      <c r="D49" s="6">
        <v>46000</v>
      </c>
      <c r="E49" s="6">
        <v>200</v>
      </c>
      <c r="F49" s="6">
        <f t="shared" si="23"/>
        <v>9200000</v>
      </c>
      <c r="G49" s="144">
        <v>75</v>
      </c>
      <c r="H49" s="144">
        <f t="shared" si="24"/>
        <v>3450000</v>
      </c>
      <c r="I49" s="180">
        <v>125</v>
      </c>
      <c r="J49" s="180">
        <f t="shared" si="25"/>
        <v>5750000</v>
      </c>
      <c r="K49" s="197"/>
      <c r="L49" s="197">
        <f t="shared" si="26"/>
        <v>0</v>
      </c>
      <c r="M49" s="86">
        <f t="shared" si="3"/>
        <v>0</v>
      </c>
      <c r="N49" s="86">
        <f t="shared" si="3"/>
        <v>0</v>
      </c>
      <c r="O49" s="84"/>
      <c r="P49" s="88"/>
    </row>
    <row r="50" spans="1:16" x14ac:dyDescent="0.2">
      <c r="A50" s="54">
        <v>43</v>
      </c>
      <c r="B50" s="3" t="s">
        <v>76</v>
      </c>
      <c r="C50" s="4"/>
      <c r="D50" s="6">
        <v>2000000</v>
      </c>
      <c r="E50" s="6">
        <v>46</v>
      </c>
      <c r="F50" s="6">
        <f t="shared" si="23"/>
        <v>92000000</v>
      </c>
      <c r="G50" s="144">
        <v>20</v>
      </c>
      <c r="H50" s="144">
        <f t="shared" si="24"/>
        <v>40000000</v>
      </c>
      <c r="I50" s="180">
        <v>26</v>
      </c>
      <c r="J50" s="180">
        <f t="shared" si="25"/>
        <v>52000000</v>
      </c>
      <c r="K50" s="197"/>
      <c r="L50" s="197">
        <f t="shared" si="26"/>
        <v>0</v>
      </c>
      <c r="M50" s="86">
        <f t="shared" si="3"/>
        <v>0</v>
      </c>
      <c r="N50" s="86">
        <f t="shared" si="3"/>
        <v>0</v>
      </c>
      <c r="O50" s="84"/>
      <c r="P50" s="88"/>
    </row>
    <row r="51" spans="1:16" x14ac:dyDescent="0.2">
      <c r="A51" s="58">
        <v>44</v>
      </c>
      <c r="B51" s="61" t="s">
        <v>77</v>
      </c>
      <c r="C51" s="62"/>
      <c r="D51" s="5"/>
      <c r="E51" s="70">
        <f>SUM(E47:E49)</f>
        <v>500</v>
      </c>
      <c r="F51" s="5">
        <f>SUM(F47:F50)</f>
        <v>116400000</v>
      </c>
      <c r="G51" s="146"/>
      <c r="H51" s="146">
        <f>SUM(H47:H50)</f>
        <v>48990000</v>
      </c>
      <c r="I51" s="182"/>
      <c r="J51" s="182">
        <f>SUM(J47:J50)</f>
        <v>67410000</v>
      </c>
      <c r="K51" s="199"/>
      <c r="L51" s="199">
        <f>SUM(L47:L50)</f>
        <v>0</v>
      </c>
      <c r="M51" s="86">
        <f t="shared" si="3"/>
        <v>500</v>
      </c>
      <c r="N51" s="86">
        <f t="shared" si="3"/>
        <v>0</v>
      </c>
      <c r="O51" s="84"/>
      <c r="P51" s="88"/>
    </row>
    <row r="52" spans="1:16" x14ac:dyDescent="0.2">
      <c r="A52" s="54">
        <v>45</v>
      </c>
      <c r="B52" s="12" t="s">
        <v>78</v>
      </c>
      <c r="C52" s="10" t="s">
        <v>79</v>
      </c>
      <c r="D52" s="6">
        <v>1500000</v>
      </c>
      <c r="E52" s="6">
        <v>30</v>
      </c>
      <c r="F52" s="6">
        <f t="shared" ref="F52:F56" si="27">D52*E52</f>
        <v>45000000</v>
      </c>
      <c r="G52" s="144">
        <v>6</v>
      </c>
      <c r="H52" s="144">
        <f t="shared" ref="H52" si="28">G52*D52</f>
        <v>9000000</v>
      </c>
      <c r="I52" s="180">
        <v>12</v>
      </c>
      <c r="J52" s="180">
        <f t="shared" ref="J52:J56" si="29">I52*D52</f>
        <v>18000000</v>
      </c>
      <c r="K52" s="197">
        <v>12</v>
      </c>
      <c r="L52" s="197">
        <f t="shared" ref="L52:L56" si="30">K52*D52</f>
        <v>18000000</v>
      </c>
      <c r="M52" s="86">
        <f t="shared" si="3"/>
        <v>0</v>
      </c>
      <c r="N52" s="86">
        <f t="shared" si="3"/>
        <v>0</v>
      </c>
      <c r="O52" s="84"/>
      <c r="P52" s="88"/>
    </row>
    <row r="53" spans="1:16" x14ac:dyDescent="0.2">
      <c r="A53" s="54">
        <v>46</v>
      </c>
      <c r="B53" s="163" t="s">
        <v>80</v>
      </c>
      <c r="C53" s="15" t="s">
        <v>58</v>
      </c>
      <c r="D53" s="48">
        <v>50000</v>
      </c>
      <c r="E53" s="6">
        <v>150</v>
      </c>
      <c r="F53" s="6">
        <f t="shared" si="27"/>
        <v>7500000</v>
      </c>
      <c r="G53" s="144">
        <v>60</v>
      </c>
      <c r="H53" s="144">
        <f>G53*D53</f>
        <v>3000000</v>
      </c>
      <c r="I53" s="180">
        <v>90</v>
      </c>
      <c r="J53" s="180">
        <f t="shared" si="29"/>
        <v>4500000</v>
      </c>
      <c r="K53" s="197"/>
      <c r="L53" s="197">
        <f t="shared" si="30"/>
        <v>0</v>
      </c>
      <c r="M53" s="86">
        <f t="shared" si="3"/>
        <v>0</v>
      </c>
      <c r="N53" s="86">
        <f t="shared" si="3"/>
        <v>0</v>
      </c>
      <c r="O53" s="84"/>
      <c r="P53" s="88"/>
    </row>
    <row r="54" spans="1:16" x14ac:dyDescent="0.2">
      <c r="A54" s="54">
        <v>47</v>
      </c>
      <c r="B54" s="3" t="s">
        <v>32</v>
      </c>
      <c r="C54" s="4" t="s">
        <v>33</v>
      </c>
      <c r="D54" s="49">
        <v>800000</v>
      </c>
      <c r="E54" s="5">
        <v>41</v>
      </c>
      <c r="F54" s="6">
        <f>D54*E54</f>
        <v>32800000</v>
      </c>
      <c r="G54" s="144">
        <v>20</v>
      </c>
      <c r="H54" s="144">
        <f t="shared" ref="H54:H55" si="31">G54*D54</f>
        <v>16000000</v>
      </c>
      <c r="I54" s="180">
        <v>21</v>
      </c>
      <c r="J54" s="180">
        <f t="shared" ref="J54:J55" si="32">I54*D54</f>
        <v>16800000</v>
      </c>
      <c r="K54" s="197">
        <v>0</v>
      </c>
      <c r="L54" s="197">
        <f t="shared" ref="L54:L55" si="33">K54*D54</f>
        <v>0</v>
      </c>
      <c r="M54" s="86">
        <f>E54-G54-I54-K54</f>
        <v>0</v>
      </c>
      <c r="N54" s="86">
        <f>F54-H54-J54-L54</f>
        <v>0</v>
      </c>
      <c r="O54" s="84"/>
      <c r="P54" s="88"/>
    </row>
    <row r="55" spans="1:16" x14ac:dyDescent="0.2">
      <c r="A55" s="58">
        <v>48</v>
      </c>
      <c r="B55" s="3" t="s">
        <v>34</v>
      </c>
      <c r="C55" s="4" t="s">
        <v>33</v>
      </c>
      <c r="D55" s="48">
        <v>250000</v>
      </c>
      <c r="E55" s="6">
        <v>41</v>
      </c>
      <c r="F55" s="6">
        <f>D55*E55</f>
        <v>10250000</v>
      </c>
      <c r="G55" s="144">
        <v>41</v>
      </c>
      <c r="H55" s="144">
        <f t="shared" si="31"/>
        <v>10250000</v>
      </c>
      <c r="I55" s="180">
        <v>0</v>
      </c>
      <c r="J55" s="180">
        <f t="shared" si="32"/>
        <v>0</v>
      </c>
      <c r="K55" s="197">
        <v>0</v>
      </c>
      <c r="L55" s="197">
        <f t="shared" si="33"/>
        <v>0</v>
      </c>
      <c r="M55" s="86">
        <f>E55-G55-I55-K55</f>
        <v>0</v>
      </c>
      <c r="N55" s="86">
        <f>F55-H55-J55-L55</f>
        <v>0</v>
      </c>
      <c r="O55" s="84"/>
      <c r="P55" s="88"/>
    </row>
    <row r="56" spans="1:16" x14ac:dyDescent="0.2">
      <c r="A56" s="54">
        <v>49</v>
      </c>
      <c r="B56" s="163" t="s">
        <v>81</v>
      </c>
      <c r="C56" s="15" t="s">
        <v>82</v>
      </c>
      <c r="D56" s="48">
        <v>2000000</v>
      </c>
      <c r="E56" s="6">
        <v>3</v>
      </c>
      <c r="F56" s="6">
        <f t="shared" si="27"/>
        <v>6000000</v>
      </c>
      <c r="G56" s="144">
        <v>1</v>
      </c>
      <c r="H56" s="144">
        <f>G56*D56</f>
        <v>2000000</v>
      </c>
      <c r="I56" s="180">
        <v>1</v>
      </c>
      <c r="J56" s="180">
        <f t="shared" si="29"/>
        <v>2000000</v>
      </c>
      <c r="K56" s="197">
        <v>1</v>
      </c>
      <c r="L56" s="197">
        <f t="shared" si="30"/>
        <v>2000000</v>
      </c>
      <c r="M56" s="86"/>
      <c r="N56" s="86"/>
      <c r="O56" s="84"/>
      <c r="P56" s="88"/>
    </row>
    <row r="57" spans="1:16" x14ac:dyDescent="0.2">
      <c r="A57" s="58">
        <v>50</v>
      </c>
      <c r="B57" s="164" t="s">
        <v>83</v>
      </c>
      <c r="C57" s="15"/>
      <c r="D57" s="11"/>
      <c r="E57" s="6"/>
      <c r="F57" s="5">
        <f>SUM(F52:F56)</f>
        <v>101550000</v>
      </c>
      <c r="G57" s="144"/>
      <c r="H57" s="146">
        <f>SUM(H52:H56)</f>
        <v>40250000</v>
      </c>
      <c r="I57" s="180"/>
      <c r="J57" s="182">
        <f>SUM(J52:J56)</f>
        <v>41300000</v>
      </c>
      <c r="K57" s="197"/>
      <c r="L57" s="199">
        <f>SUM(L52:L56)</f>
        <v>20000000</v>
      </c>
      <c r="M57" s="86">
        <f t="shared" si="3"/>
        <v>0</v>
      </c>
      <c r="N57" s="86">
        <f t="shared" si="3"/>
        <v>0</v>
      </c>
      <c r="O57" s="84">
        <f>F57*100/F$62</f>
        <v>5.083035846414993</v>
      </c>
      <c r="P57" s="88"/>
    </row>
    <row r="58" spans="1:16" x14ac:dyDescent="0.2">
      <c r="A58" s="54">
        <v>51</v>
      </c>
      <c r="B58" s="160" t="s">
        <v>85</v>
      </c>
      <c r="C58" s="17"/>
      <c r="D58" s="48"/>
      <c r="E58" s="6"/>
      <c r="F58" s="5">
        <f>F51+F57</f>
        <v>217950000</v>
      </c>
      <c r="G58" s="144"/>
      <c r="H58" s="146">
        <f>H51+H57</f>
        <v>89240000</v>
      </c>
      <c r="I58" s="180"/>
      <c r="J58" s="182">
        <f>J51+J57</f>
        <v>108710000</v>
      </c>
      <c r="K58" s="197"/>
      <c r="L58" s="199">
        <f>L51+L57</f>
        <v>20000000</v>
      </c>
      <c r="M58" s="86">
        <f t="shared" si="3"/>
        <v>0</v>
      </c>
      <c r="N58" s="86">
        <f t="shared" si="3"/>
        <v>0</v>
      </c>
      <c r="O58" s="84">
        <f>F58*100/F$62</f>
        <v>10.909381218376639</v>
      </c>
      <c r="P58" s="88"/>
    </row>
    <row r="59" spans="1:16" x14ac:dyDescent="0.2">
      <c r="A59" s="58">
        <v>52</v>
      </c>
      <c r="B59" s="65" t="s">
        <v>86</v>
      </c>
      <c r="C59" s="18"/>
      <c r="D59" s="50"/>
      <c r="E59" s="19"/>
      <c r="F59" s="71">
        <f>F46+F58</f>
        <v>1807983560.72</v>
      </c>
      <c r="G59" s="152"/>
      <c r="H59" s="153">
        <f>H46+H58</f>
        <v>449231619.60000002</v>
      </c>
      <c r="I59" s="188"/>
      <c r="J59" s="189">
        <f>J46+J58</f>
        <v>852182613</v>
      </c>
      <c r="K59" s="208"/>
      <c r="L59" s="209">
        <f>L46+L58</f>
        <v>506569328.12</v>
      </c>
      <c r="M59" s="86">
        <f t="shared" si="3"/>
        <v>0</v>
      </c>
      <c r="N59" s="86">
        <f t="shared" si="3"/>
        <v>0</v>
      </c>
      <c r="O59" s="84">
        <f>F59*100/F$62</f>
        <v>90.497737556561077</v>
      </c>
      <c r="P59" s="88"/>
    </row>
    <row r="60" spans="1:16" ht="13.5" x14ac:dyDescent="0.25">
      <c r="A60" s="54">
        <v>53</v>
      </c>
      <c r="B60" s="65" t="s">
        <v>15</v>
      </c>
      <c r="C60" s="16" t="s">
        <v>2</v>
      </c>
      <c r="D60" s="51" t="s">
        <v>2</v>
      </c>
      <c r="E60" s="6">
        <v>10</v>
      </c>
      <c r="F60" s="5">
        <f>F59*0.1</f>
        <v>180798356.07200003</v>
      </c>
      <c r="G60" s="154"/>
      <c r="H60" s="146">
        <f>H59*0.1</f>
        <v>44923161.960000008</v>
      </c>
      <c r="I60" s="190"/>
      <c r="J60" s="182">
        <f>J59*0.1</f>
        <v>85218261.300000012</v>
      </c>
      <c r="K60" s="210"/>
      <c r="L60" s="199">
        <f>L59*0.1</f>
        <v>50656932.812000006</v>
      </c>
      <c r="M60" s="86">
        <f t="shared" si="3"/>
        <v>10</v>
      </c>
      <c r="N60" s="86">
        <f t="shared" si="3"/>
        <v>0</v>
      </c>
      <c r="O60" s="84">
        <f>F60*100/F$62</f>
        <v>9.0497737556561102</v>
      </c>
      <c r="P60" s="88"/>
    </row>
    <row r="61" spans="1:16" x14ac:dyDescent="0.2">
      <c r="A61" s="58">
        <v>54</v>
      </c>
      <c r="B61" s="163" t="s">
        <v>4</v>
      </c>
      <c r="C61" s="15" t="s">
        <v>2</v>
      </c>
      <c r="D61" s="52">
        <v>0.05</v>
      </c>
      <c r="E61" s="6"/>
      <c r="F61" s="6">
        <f>F59*0.005</f>
        <v>9039917.8036000002</v>
      </c>
      <c r="G61" s="144"/>
      <c r="H61" s="144">
        <f>H59*0.005</f>
        <v>2246158.0980000002</v>
      </c>
      <c r="I61" s="180"/>
      <c r="J61" s="180">
        <f>J59*0.005</f>
        <v>4260913.0650000004</v>
      </c>
      <c r="K61" s="197"/>
      <c r="L61" s="197">
        <f>L59*0.005</f>
        <v>2532846.6406</v>
      </c>
      <c r="M61" s="86"/>
      <c r="N61" s="86"/>
      <c r="O61" s="84"/>
      <c r="P61" s="88"/>
    </row>
    <row r="62" spans="1:16" x14ac:dyDescent="0.2">
      <c r="A62" s="58">
        <v>55</v>
      </c>
      <c r="B62" s="65" t="s">
        <v>87</v>
      </c>
      <c r="C62" s="18"/>
      <c r="D62" s="50"/>
      <c r="E62" s="19"/>
      <c r="F62" s="5">
        <f>SUM(F59:F60)+F61</f>
        <v>1997821834.5956001</v>
      </c>
      <c r="G62" s="152"/>
      <c r="H62" s="146">
        <f>SUM(H59:H60)+H61</f>
        <v>496400939.65800005</v>
      </c>
      <c r="I62" s="188"/>
      <c r="J62" s="182">
        <f>SUM(J59:J60)+J61</f>
        <v>941661787.36500001</v>
      </c>
      <c r="K62" s="208"/>
      <c r="L62" s="199">
        <f>SUM(L59:L60)+L61</f>
        <v>559759107.57260001</v>
      </c>
      <c r="M62" s="86">
        <f t="shared" si="3"/>
        <v>0</v>
      </c>
      <c r="N62" s="86">
        <f t="shared" si="3"/>
        <v>0</v>
      </c>
      <c r="O62" s="84">
        <f>F62*100/F$62</f>
        <v>99.999999999999986</v>
      </c>
      <c r="P62" s="88"/>
    </row>
    <row r="63" spans="1:16" x14ac:dyDescent="0.2">
      <c r="A63" s="98"/>
      <c r="B63" s="165"/>
      <c r="C63" s="99"/>
      <c r="D63" s="100"/>
      <c r="E63" s="101"/>
      <c r="F63" s="102">
        <f>F62-D66</f>
        <v>1997821834.5956001</v>
      </c>
      <c r="G63" s="103"/>
      <c r="H63" s="104"/>
      <c r="I63" s="103"/>
      <c r="J63" s="104"/>
      <c r="K63" s="104"/>
      <c r="L63" s="105"/>
      <c r="M63" s="86"/>
      <c r="N63" s="84"/>
      <c r="O63" s="84">
        <f>MAX(O8:O57)</f>
        <v>79.58835633818444</v>
      </c>
      <c r="P63" s="88"/>
    </row>
    <row r="64" spans="1:16" x14ac:dyDescent="0.2">
      <c r="A64" s="89"/>
      <c r="B64" s="906" t="s">
        <v>97</v>
      </c>
      <c r="C64" s="906"/>
      <c r="D64" s="89"/>
      <c r="E64" s="109"/>
      <c r="F64" s="129" t="s">
        <v>98</v>
      </c>
      <c r="G64" s="103"/>
      <c r="H64" s="106"/>
      <c r="I64" s="103"/>
      <c r="J64" s="104"/>
      <c r="K64" s="104"/>
      <c r="L64" s="105"/>
      <c r="M64" s="86"/>
      <c r="N64" s="84"/>
      <c r="O64" s="84"/>
      <c r="P64" s="88"/>
    </row>
    <row r="65" spans="1:16" x14ac:dyDescent="0.2">
      <c r="A65" s="89"/>
      <c r="B65" s="156"/>
      <c r="C65" s="89"/>
      <c r="D65" s="110"/>
      <c r="E65" s="111"/>
      <c r="F65" s="88"/>
      <c r="G65" s="103"/>
      <c r="H65" s="88"/>
      <c r="I65" s="103"/>
      <c r="J65" s="104"/>
      <c r="K65" s="104"/>
      <c r="L65" s="105"/>
      <c r="M65" s="86"/>
      <c r="N65" s="84"/>
      <c r="O65" s="84"/>
      <c r="P65" s="88"/>
    </row>
    <row r="66" spans="1:16" x14ac:dyDescent="0.2">
      <c r="A66" s="89"/>
      <c r="B66" s="156"/>
      <c r="C66" s="107" t="s">
        <v>89</v>
      </c>
      <c r="D66" s="107"/>
      <c r="E66" s="88"/>
      <c r="F66" s="106" t="s">
        <v>95</v>
      </c>
      <c r="G66" s="88"/>
      <c r="H66" s="104"/>
      <c r="I66" s="103"/>
      <c r="J66" s="104"/>
      <c r="K66" s="104"/>
      <c r="L66" s="105"/>
      <c r="M66" s="86"/>
      <c r="N66" s="84"/>
      <c r="O66" s="84"/>
      <c r="P66" s="88"/>
    </row>
    <row r="67" spans="1:16" x14ac:dyDescent="0.2">
      <c r="A67" s="112"/>
      <c r="B67" s="165"/>
      <c r="C67" s="99"/>
      <c r="D67" s="100"/>
      <c r="E67" s="101"/>
      <c r="F67" s="113"/>
      <c r="G67" s="103"/>
      <c r="H67" s="104"/>
      <c r="I67" s="103"/>
      <c r="J67" s="104"/>
      <c r="K67" s="104"/>
      <c r="L67" s="105"/>
      <c r="M67" s="86"/>
      <c r="N67" s="84"/>
      <c r="O67" s="84"/>
      <c r="P67" s="88"/>
    </row>
    <row r="68" spans="1:16" x14ac:dyDescent="0.2">
      <c r="A68" s="112"/>
      <c r="B68" s="165"/>
      <c r="C68" s="108" t="s">
        <v>90</v>
      </c>
      <c r="D68" s="88"/>
      <c r="E68" s="104"/>
      <c r="F68" s="108" t="s">
        <v>99</v>
      </c>
      <c r="G68" s="103"/>
      <c r="H68" s="104"/>
      <c r="I68" s="103"/>
      <c r="J68" s="104"/>
      <c r="K68" s="104"/>
      <c r="L68" s="105"/>
      <c r="M68" s="86"/>
      <c r="N68" s="84"/>
      <c r="O68" s="84"/>
      <c r="P68" s="88"/>
    </row>
    <row r="69" spans="1:16" ht="21.75" customHeight="1" x14ac:dyDescent="0.2">
      <c r="A69" s="112"/>
      <c r="B69" s="165"/>
      <c r="C69" s="88"/>
      <c r="D69" s="88"/>
      <c r="E69" s="88"/>
      <c r="F69" s="88"/>
      <c r="G69" s="103"/>
      <c r="H69" s="104"/>
      <c r="I69" s="103"/>
      <c r="J69" s="104"/>
      <c r="K69" s="104"/>
      <c r="L69" s="105"/>
      <c r="M69" s="86"/>
      <c r="N69" s="84"/>
      <c r="O69" s="84"/>
      <c r="P69" s="88"/>
    </row>
    <row r="70" spans="1:16" x14ac:dyDescent="0.2">
      <c r="A70" s="112"/>
      <c r="B70" s="165"/>
      <c r="C70" s="99"/>
      <c r="D70" s="100"/>
      <c r="E70" s="101"/>
      <c r="F70" s="113"/>
      <c r="G70" s="103"/>
      <c r="H70" s="104"/>
      <c r="I70" s="103"/>
      <c r="J70" s="104"/>
      <c r="K70" s="104"/>
      <c r="L70" s="105"/>
      <c r="M70" s="86"/>
      <c r="N70" s="84"/>
      <c r="O70" s="84"/>
      <c r="P70" s="88"/>
    </row>
    <row r="71" spans="1:16" x14ac:dyDescent="0.2">
      <c r="A71" s="112"/>
      <c r="B71" s="165"/>
      <c r="C71" s="99"/>
      <c r="D71" s="100"/>
      <c r="E71" s="101"/>
      <c r="F71" s="113"/>
      <c r="G71" s="103"/>
      <c r="H71" s="104"/>
      <c r="I71" s="103"/>
      <c r="J71" s="104"/>
      <c r="K71" s="104"/>
      <c r="L71" s="105"/>
      <c r="M71" s="86"/>
      <c r="N71" s="84"/>
      <c r="O71" s="84"/>
      <c r="P71" s="88"/>
    </row>
    <row r="72" spans="1:16" x14ac:dyDescent="0.2">
      <c r="A72" s="112"/>
      <c r="B72" s="165"/>
      <c r="C72" s="99"/>
      <c r="D72" s="100"/>
      <c r="E72" s="101"/>
      <c r="F72" s="113"/>
      <c r="G72" s="103"/>
      <c r="H72" s="104"/>
      <c r="I72" s="103"/>
      <c r="J72" s="104"/>
      <c r="K72" s="104"/>
      <c r="L72" s="105"/>
      <c r="M72" s="86"/>
      <c r="N72" s="84"/>
      <c r="O72" s="84"/>
      <c r="P72" s="88"/>
    </row>
    <row r="73" spans="1:16" x14ac:dyDescent="0.2">
      <c r="A73" s="112"/>
      <c r="B73" s="165"/>
      <c r="C73" s="99"/>
      <c r="D73" s="100"/>
      <c r="E73" s="101"/>
      <c r="F73" s="113"/>
      <c r="G73" s="103"/>
      <c r="H73" s="104"/>
      <c r="I73" s="103"/>
      <c r="J73" s="104"/>
      <c r="K73" s="104"/>
      <c r="L73" s="105"/>
      <c r="M73" s="86"/>
      <c r="N73" s="84"/>
      <c r="O73" s="84"/>
      <c r="P73" s="88"/>
    </row>
    <row r="74" spans="1:16" x14ac:dyDescent="0.2">
      <c r="A74" s="112"/>
      <c r="B74" s="165"/>
      <c r="C74" s="99"/>
      <c r="D74" s="100"/>
      <c r="E74" s="101"/>
      <c r="F74" s="113"/>
      <c r="G74" s="103"/>
      <c r="H74" s="104"/>
      <c r="I74" s="103"/>
      <c r="J74" s="104"/>
      <c r="K74" s="104"/>
      <c r="L74" s="105"/>
      <c r="M74" s="86"/>
      <c r="N74" s="84"/>
      <c r="O74" s="84"/>
      <c r="P74" s="88"/>
    </row>
    <row r="75" spans="1:16" x14ac:dyDescent="0.2">
      <c r="A75" s="112"/>
      <c r="B75" s="165"/>
      <c r="C75" s="99"/>
      <c r="D75" s="100"/>
      <c r="E75" s="101"/>
      <c r="F75" s="113"/>
      <c r="G75" s="103"/>
      <c r="H75" s="104"/>
      <c r="I75" s="103"/>
      <c r="J75" s="104"/>
      <c r="K75" s="104"/>
      <c r="L75" s="105"/>
      <c r="M75" s="86"/>
      <c r="N75" s="84"/>
      <c r="O75" s="84"/>
      <c r="P75" s="88"/>
    </row>
    <row r="76" spans="1:16" x14ac:dyDescent="0.2">
      <c r="A76" s="112"/>
      <c r="B76" s="165"/>
      <c r="C76" s="99"/>
      <c r="D76" s="100"/>
      <c r="E76" s="101"/>
      <c r="F76" s="113"/>
      <c r="G76" s="103"/>
      <c r="H76" s="104"/>
      <c r="I76" s="103"/>
      <c r="J76" s="104"/>
      <c r="K76" s="104"/>
      <c r="L76" s="105"/>
      <c r="M76" s="86"/>
      <c r="N76" s="84"/>
      <c r="O76" s="84"/>
      <c r="P76" s="88"/>
    </row>
    <row r="77" spans="1:16" x14ac:dyDescent="0.2">
      <c r="A77" s="112"/>
      <c r="B77" s="165"/>
      <c r="C77" s="99"/>
      <c r="D77" s="100"/>
      <c r="E77" s="101"/>
      <c r="F77" s="113"/>
      <c r="G77" s="103"/>
      <c r="H77" s="104"/>
      <c r="I77" s="103"/>
      <c r="J77" s="104"/>
      <c r="K77" s="104"/>
      <c r="L77" s="105"/>
      <c r="M77" s="86"/>
      <c r="N77" s="84"/>
      <c r="O77" s="84"/>
      <c r="P77" s="88"/>
    </row>
    <row r="78" spans="1:16" x14ac:dyDescent="0.2">
      <c r="A78" s="112"/>
      <c r="B78" s="165"/>
      <c r="C78" s="99"/>
      <c r="D78" s="100"/>
      <c r="E78" s="101"/>
      <c r="F78" s="113"/>
      <c r="G78" s="103"/>
      <c r="H78" s="104"/>
      <c r="I78" s="103"/>
      <c r="J78" s="104"/>
      <c r="K78" s="104"/>
      <c r="L78" s="105"/>
      <c r="M78" s="86"/>
      <c r="N78" s="84"/>
      <c r="O78" s="84"/>
      <c r="P78" s="88"/>
    </row>
    <row r="79" spans="1:16" x14ac:dyDescent="0.2">
      <c r="A79" s="112"/>
      <c r="B79" s="165"/>
      <c r="C79" s="99"/>
      <c r="D79" s="100"/>
      <c r="E79" s="101"/>
      <c r="F79" s="113"/>
      <c r="G79" s="103"/>
      <c r="H79" s="104"/>
      <c r="I79" s="103"/>
      <c r="J79" s="104"/>
      <c r="K79" s="104"/>
      <c r="L79" s="105"/>
      <c r="M79" s="86"/>
      <c r="N79" s="84"/>
      <c r="O79" s="84"/>
      <c r="P79" s="88"/>
    </row>
    <row r="80" spans="1:16" x14ac:dyDescent="0.2">
      <c r="A80" s="112"/>
      <c r="B80" s="165"/>
      <c r="C80" s="99"/>
      <c r="D80" s="100"/>
      <c r="E80" s="101"/>
      <c r="F80" s="113"/>
      <c r="G80" s="103"/>
      <c r="H80" s="104"/>
      <c r="I80" s="103"/>
      <c r="J80" s="104"/>
      <c r="K80" s="104"/>
      <c r="L80" s="105"/>
      <c r="M80" s="86"/>
      <c r="N80" s="81"/>
      <c r="O80" s="81"/>
    </row>
    <row r="81" spans="1:15" x14ac:dyDescent="0.2">
      <c r="A81" s="74"/>
      <c r="B81" s="166"/>
      <c r="C81" s="72"/>
      <c r="D81" s="20"/>
      <c r="E81" s="21"/>
      <c r="F81" s="22"/>
      <c r="G81" s="23"/>
      <c r="H81" s="2"/>
      <c r="I81" s="23"/>
      <c r="J81" s="2"/>
      <c r="K81" s="2"/>
      <c r="L81" s="24"/>
      <c r="M81" s="7"/>
      <c r="N81" s="81"/>
      <c r="O81" s="81"/>
    </row>
    <row r="82" spans="1:15" x14ac:dyDescent="0.2">
      <c r="A82" s="74"/>
      <c r="B82" s="166"/>
      <c r="C82" s="72"/>
      <c r="D82" s="20"/>
      <c r="E82" s="21"/>
      <c r="F82" s="22"/>
      <c r="G82" s="23"/>
      <c r="H82" s="2"/>
      <c r="I82" s="23"/>
      <c r="J82" s="2"/>
      <c r="K82" s="2"/>
      <c r="L82" s="24"/>
      <c r="M82" s="7"/>
      <c r="N82" s="81"/>
      <c r="O82" s="81"/>
    </row>
    <row r="83" spans="1:15" x14ac:dyDescent="0.2">
      <c r="A83" s="74"/>
      <c r="B83" s="166"/>
      <c r="C83" s="72"/>
      <c r="D83" s="20"/>
      <c r="E83" s="21"/>
      <c r="F83" s="22"/>
      <c r="G83" s="23"/>
      <c r="H83" s="2"/>
      <c r="I83" s="23"/>
      <c r="J83" s="2"/>
      <c r="K83" s="2"/>
      <c r="L83" s="24"/>
      <c r="M83" s="7"/>
      <c r="N83" s="81"/>
      <c r="O83" s="81"/>
    </row>
    <row r="84" spans="1:15" x14ac:dyDescent="0.2">
      <c r="A84" s="74"/>
      <c r="B84" s="166"/>
      <c r="C84" s="72"/>
      <c r="D84" s="20"/>
      <c r="E84" s="21"/>
      <c r="F84" s="22"/>
      <c r="G84" s="23"/>
      <c r="H84" s="2"/>
      <c r="I84" s="23"/>
      <c r="J84" s="2"/>
      <c r="K84" s="2"/>
      <c r="L84" s="24"/>
      <c r="M84" s="7"/>
      <c r="N84" s="81"/>
      <c r="O84" s="81"/>
    </row>
    <row r="85" spans="1:15" x14ac:dyDescent="0.2">
      <c r="A85" s="74"/>
      <c r="B85" s="166"/>
      <c r="C85" s="72"/>
      <c r="D85" s="20"/>
      <c r="E85" s="21"/>
      <c r="F85" s="22"/>
      <c r="G85" s="23"/>
      <c r="H85" s="2"/>
      <c r="I85" s="23"/>
      <c r="J85" s="2"/>
      <c r="K85" s="2"/>
      <c r="L85" s="24"/>
      <c r="M85" s="7"/>
      <c r="N85" s="81"/>
      <c r="O85" s="81"/>
    </row>
    <row r="86" spans="1:15" x14ac:dyDescent="0.2">
      <c r="A86" s="74"/>
      <c r="B86" s="166"/>
      <c r="C86" s="72"/>
      <c r="D86" s="20"/>
      <c r="E86" s="21"/>
      <c r="F86" s="22"/>
      <c r="G86" s="23"/>
      <c r="H86" s="2"/>
      <c r="I86" s="23"/>
      <c r="J86" s="2"/>
      <c r="K86" s="2"/>
      <c r="L86" s="24"/>
      <c r="M86" s="7"/>
      <c r="N86" s="81"/>
      <c r="O86" s="81"/>
    </row>
    <row r="87" spans="1:15" x14ac:dyDescent="0.2">
      <c r="A87" s="74"/>
      <c r="B87" s="166"/>
      <c r="C87" s="72"/>
      <c r="D87" s="20"/>
      <c r="E87" s="21"/>
      <c r="F87" s="22"/>
      <c r="G87" s="23"/>
      <c r="H87" s="2"/>
      <c r="I87" s="23"/>
      <c r="J87" s="2"/>
      <c r="K87" s="2"/>
      <c r="L87" s="24"/>
      <c r="M87" s="7"/>
      <c r="N87" s="81"/>
      <c r="O87" s="81"/>
    </row>
    <row r="88" spans="1:15" x14ac:dyDescent="0.2">
      <c r="A88" s="74"/>
      <c r="B88" s="166"/>
      <c r="C88" s="72"/>
      <c r="D88" s="20"/>
      <c r="E88" s="21"/>
      <c r="F88" s="22"/>
      <c r="G88" s="23"/>
      <c r="H88" s="2"/>
      <c r="I88" s="23"/>
      <c r="J88" s="2"/>
      <c r="K88" s="2"/>
      <c r="L88" s="24"/>
      <c r="M88" s="7"/>
      <c r="N88" s="81"/>
      <c r="O88" s="81"/>
    </row>
    <row r="89" spans="1:15" x14ac:dyDescent="0.2">
      <c r="A89" s="74"/>
      <c r="B89" s="166"/>
      <c r="C89" s="72"/>
      <c r="D89" s="20"/>
      <c r="E89" s="21"/>
      <c r="F89" s="22"/>
      <c r="G89" s="23"/>
      <c r="H89" s="2"/>
      <c r="I89" s="23"/>
      <c r="J89" s="2"/>
      <c r="K89" s="2"/>
      <c r="L89" s="24"/>
      <c r="M89" s="7"/>
      <c r="N89" s="81"/>
      <c r="O89" s="81"/>
    </row>
    <row r="90" spans="1:15" x14ac:dyDescent="0.2">
      <c r="A90" s="74"/>
      <c r="B90" s="166"/>
      <c r="C90" s="72"/>
      <c r="D90" s="20"/>
      <c r="E90" s="21"/>
      <c r="F90" s="22"/>
      <c r="G90" s="23"/>
      <c r="H90" s="2"/>
      <c r="I90" s="23"/>
      <c r="J90" s="2"/>
      <c r="K90" s="2"/>
      <c r="L90" s="24"/>
      <c r="M90" s="7"/>
      <c r="N90" s="81"/>
      <c r="O90" s="81"/>
    </row>
    <row r="91" spans="1:15" x14ac:dyDescent="0.2">
      <c r="A91" s="74"/>
      <c r="B91" s="166"/>
      <c r="C91" s="72"/>
      <c r="D91" s="20"/>
      <c r="E91" s="21"/>
      <c r="F91" s="22"/>
      <c r="G91" s="23"/>
      <c r="H91" s="2"/>
      <c r="I91" s="23"/>
      <c r="J91" s="2"/>
      <c r="K91" s="2"/>
      <c r="L91" s="24"/>
      <c r="M91" s="7"/>
      <c r="N91" s="81"/>
      <c r="O91" s="81"/>
    </row>
    <row r="92" spans="1:15" x14ac:dyDescent="0.2">
      <c r="A92" s="74"/>
      <c r="B92" s="166"/>
      <c r="C92" s="72"/>
      <c r="D92" s="20"/>
      <c r="E92" s="21"/>
      <c r="F92" s="22"/>
      <c r="G92" s="23"/>
      <c r="H92" s="2"/>
      <c r="I92" s="23"/>
      <c r="J92" s="2"/>
      <c r="K92" s="2"/>
      <c r="L92" s="24"/>
      <c r="M92" s="7"/>
      <c r="N92" s="81"/>
      <c r="O92" s="81"/>
    </row>
    <row r="93" spans="1:15" x14ac:dyDescent="0.2">
      <c r="A93" s="74"/>
      <c r="B93" s="166"/>
      <c r="C93" s="72"/>
      <c r="D93" s="20"/>
      <c r="E93" s="21"/>
      <c r="F93" s="22"/>
      <c r="G93" s="23"/>
      <c r="H93" s="2"/>
      <c r="I93" s="23"/>
      <c r="J93" s="2"/>
      <c r="K93" s="2"/>
      <c r="L93" s="24"/>
      <c r="M93" s="7"/>
      <c r="N93" s="81"/>
      <c r="O93" s="81"/>
    </row>
    <row r="94" spans="1:15" x14ac:dyDescent="0.2">
      <c r="A94" s="74"/>
      <c r="B94" s="166"/>
      <c r="C94" s="72"/>
      <c r="D94" s="20"/>
      <c r="E94" s="21"/>
      <c r="F94" s="22"/>
      <c r="G94" s="23"/>
      <c r="H94" s="2"/>
      <c r="I94" s="23"/>
      <c r="J94" s="2"/>
      <c r="K94" s="2"/>
      <c r="L94" s="24"/>
      <c r="M94" s="7"/>
      <c r="N94" s="81"/>
      <c r="O94" s="81"/>
    </row>
    <row r="95" spans="1:15" x14ac:dyDescent="0.2">
      <c r="A95" s="74"/>
      <c r="B95" s="166"/>
      <c r="C95" s="72"/>
      <c r="D95" s="20"/>
      <c r="E95" s="21"/>
      <c r="F95" s="22"/>
      <c r="G95" s="23"/>
      <c r="H95" s="2"/>
      <c r="I95" s="23"/>
      <c r="J95" s="2"/>
      <c r="K95" s="2"/>
      <c r="L95" s="24"/>
      <c r="M95" s="7"/>
      <c r="N95" s="81"/>
      <c r="O95" s="81"/>
    </row>
    <row r="96" spans="1:15" x14ac:dyDescent="0.2">
      <c r="A96" s="74"/>
      <c r="B96" s="166"/>
      <c r="C96" s="72"/>
      <c r="D96" s="20"/>
      <c r="E96" s="21"/>
      <c r="F96" s="22"/>
      <c r="G96" s="23"/>
      <c r="H96" s="2"/>
      <c r="I96" s="23"/>
      <c r="J96" s="2"/>
      <c r="K96" s="2"/>
      <c r="L96" s="24"/>
      <c r="M96" s="7"/>
      <c r="N96" s="81"/>
      <c r="O96" s="81"/>
    </row>
    <row r="97" spans="1:15" x14ac:dyDescent="0.2">
      <c r="A97" s="74"/>
      <c r="B97" s="166"/>
      <c r="C97" s="72"/>
      <c r="D97" s="20"/>
      <c r="E97" s="21"/>
      <c r="F97" s="22"/>
      <c r="G97" s="23"/>
      <c r="H97" s="2"/>
      <c r="I97" s="23"/>
      <c r="J97" s="2"/>
      <c r="K97" s="2"/>
      <c r="L97" s="24"/>
      <c r="M97" s="7"/>
      <c r="N97" s="81"/>
      <c r="O97" s="81"/>
    </row>
    <row r="98" spans="1:15" x14ac:dyDescent="0.2">
      <c r="A98" s="74"/>
      <c r="B98" s="166"/>
      <c r="C98" s="72"/>
      <c r="D98" s="20"/>
      <c r="E98" s="21"/>
      <c r="F98" s="22"/>
      <c r="G98" s="23"/>
      <c r="H98" s="2"/>
      <c r="I98" s="23"/>
      <c r="J98" s="2"/>
      <c r="K98" s="2"/>
      <c r="L98" s="24"/>
      <c r="M98" s="7"/>
      <c r="N98" s="81"/>
      <c r="O98" s="81"/>
    </row>
    <row r="99" spans="1:15" x14ac:dyDescent="0.2">
      <c r="A99" s="74"/>
      <c r="B99" s="166"/>
      <c r="C99" s="72"/>
      <c r="D99" s="20"/>
      <c r="E99" s="21"/>
      <c r="F99" s="22"/>
      <c r="G99" s="23"/>
      <c r="H99" s="2"/>
      <c r="I99" s="23"/>
      <c r="J99" s="2"/>
      <c r="K99" s="2"/>
      <c r="L99" s="24"/>
      <c r="M99" s="7"/>
      <c r="N99" s="81"/>
      <c r="O99" s="81"/>
    </row>
    <row r="100" spans="1:15" x14ac:dyDescent="0.2">
      <c r="A100" s="74"/>
      <c r="B100" s="166"/>
      <c r="C100" s="72"/>
      <c r="D100" s="20"/>
      <c r="E100" s="21"/>
      <c r="F100" s="22"/>
      <c r="G100" s="23"/>
      <c r="H100" s="2"/>
      <c r="I100" s="23"/>
      <c r="J100" s="2"/>
      <c r="K100" s="2"/>
      <c r="L100" s="24"/>
      <c r="M100" s="7"/>
      <c r="N100" s="81"/>
      <c r="O100" s="81"/>
    </row>
    <row r="101" spans="1:15" x14ac:dyDescent="0.2">
      <c r="A101" s="74"/>
      <c r="B101" s="166"/>
      <c r="C101" s="72"/>
      <c r="D101" s="20"/>
      <c r="E101" s="21"/>
      <c r="F101" s="22"/>
      <c r="G101" s="23"/>
      <c r="H101" s="2"/>
      <c r="I101" s="23"/>
      <c r="J101" s="2"/>
      <c r="K101" s="2"/>
      <c r="L101" s="24"/>
      <c r="M101" s="7"/>
      <c r="N101" s="81"/>
      <c r="O101" s="81"/>
    </row>
    <row r="102" spans="1:15" x14ac:dyDescent="0.2">
      <c r="A102" s="74"/>
      <c r="B102" s="166"/>
      <c r="C102" s="72"/>
      <c r="D102" s="20"/>
      <c r="E102" s="21"/>
      <c r="F102" s="22"/>
      <c r="G102" s="23"/>
      <c r="H102" s="2"/>
      <c r="I102" s="23"/>
      <c r="J102" s="2"/>
      <c r="K102" s="2"/>
      <c r="L102" s="24"/>
      <c r="M102" s="7"/>
      <c r="N102" s="81"/>
      <c r="O102" s="81"/>
    </row>
    <row r="103" spans="1:15" x14ac:dyDescent="0.2">
      <c r="A103" s="74"/>
      <c r="B103" s="166"/>
      <c r="C103" s="72"/>
      <c r="D103" s="20"/>
      <c r="E103" s="21"/>
      <c r="F103" s="22"/>
      <c r="G103" s="23"/>
      <c r="H103" s="2"/>
      <c r="I103" s="23"/>
      <c r="J103" s="2"/>
      <c r="K103" s="2"/>
      <c r="L103" s="24"/>
      <c r="M103" s="7"/>
      <c r="N103" s="81"/>
      <c r="O103" s="81"/>
    </row>
    <row r="104" spans="1:15" x14ac:dyDescent="0.2">
      <c r="A104" s="74"/>
      <c r="B104" s="166"/>
      <c r="C104" s="72"/>
      <c r="D104" s="20"/>
      <c r="E104" s="21"/>
      <c r="F104" s="22"/>
      <c r="G104" s="23"/>
      <c r="H104" s="2"/>
      <c r="I104" s="23"/>
      <c r="J104" s="2"/>
      <c r="K104" s="2"/>
      <c r="L104" s="24"/>
      <c r="M104" s="7"/>
      <c r="N104" s="81"/>
      <c r="O104" s="81"/>
    </row>
    <row r="105" spans="1:15" x14ac:dyDescent="0.2">
      <c r="A105" s="74"/>
      <c r="B105" s="166"/>
      <c r="C105" s="72"/>
      <c r="D105" s="20"/>
      <c r="E105" s="21"/>
      <c r="F105" s="22"/>
      <c r="G105" s="23"/>
      <c r="H105" s="2"/>
      <c r="I105" s="23"/>
      <c r="J105" s="2"/>
      <c r="K105" s="2"/>
      <c r="L105" s="24"/>
      <c r="M105" s="7"/>
      <c r="N105" s="81"/>
      <c r="O105" s="81"/>
    </row>
    <row r="106" spans="1:15" x14ac:dyDescent="0.2">
      <c r="A106" s="74"/>
      <c r="B106" s="166"/>
      <c r="C106" s="72"/>
      <c r="D106" s="20"/>
      <c r="E106" s="21"/>
      <c r="F106" s="22"/>
      <c r="G106" s="23"/>
      <c r="H106" s="2"/>
      <c r="I106" s="23"/>
      <c r="J106" s="2"/>
      <c r="K106" s="2"/>
      <c r="L106" s="24"/>
      <c r="M106" s="7"/>
      <c r="N106" s="81"/>
      <c r="O106" s="81"/>
    </row>
    <row r="107" spans="1:15" x14ac:dyDescent="0.2">
      <c r="A107" s="74"/>
      <c r="B107" s="166"/>
      <c r="C107" s="72"/>
      <c r="D107" s="20"/>
      <c r="E107" s="21"/>
      <c r="F107" s="22"/>
      <c r="G107" s="23"/>
      <c r="H107" s="2"/>
      <c r="I107" s="23"/>
      <c r="J107" s="2"/>
      <c r="K107" s="2"/>
      <c r="L107" s="24"/>
      <c r="M107" s="7"/>
      <c r="N107" s="81"/>
      <c r="O107" s="81"/>
    </row>
    <row r="108" spans="1:15" x14ac:dyDescent="0.2">
      <c r="A108" s="74"/>
      <c r="B108" s="166"/>
      <c r="C108" s="72"/>
      <c r="D108" s="20"/>
      <c r="E108" s="21"/>
      <c r="F108" s="22"/>
      <c r="G108" s="23"/>
      <c r="H108" s="2"/>
      <c r="I108" s="23"/>
      <c r="J108" s="2"/>
      <c r="K108" s="2"/>
      <c r="L108" s="24"/>
      <c r="M108" s="7"/>
      <c r="N108" s="81"/>
      <c r="O108" s="81"/>
    </row>
    <row r="109" spans="1:15" x14ac:dyDescent="0.2">
      <c r="A109" s="25"/>
      <c r="C109" s="31"/>
      <c r="D109" s="2"/>
      <c r="E109" s="26"/>
      <c r="F109" s="22"/>
      <c r="G109" s="23"/>
      <c r="H109" s="2"/>
      <c r="I109" s="23"/>
      <c r="J109" s="2"/>
      <c r="K109" s="2"/>
      <c r="L109" s="24"/>
      <c r="M109" s="7"/>
      <c r="N109" s="81"/>
      <c r="O109" s="81"/>
    </row>
    <row r="110" spans="1:15" x14ac:dyDescent="0.2">
      <c r="A110" s="25"/>
      <c r="B110" s="76" t="s">
        <v>91</v>
      </c>
      <c r="C110" s="31"/>
      <c r="D110" s="2"/>
      <c r="E110" s="26"/>
      <c r="F110" s="22"/>
      <c r="G110" s="23"/>
      <c r="H110" s="2"/>
      <c r="I110" s="23"/>
      <c r="J110" s="2"/>
      <c r="K110" s="2"/>
      <c r="L110" s="24"/>
      <c r="M110" s="7"/>
      <c r="N110" s="81"/>
      <c r="O110" s="81"/>
    </row>
    <row r="111" spans="1:15" x14ac:dyDescent="0.2">
      <c r="A111" s="25"/>
      <c r="B111" s="167" t="s">
        <v>88</v>
      </c>
      <c r="C111" s="31"/>
      <c r="D111" s="73" t="s">
        <v>92</v>
      </c>
      <c r="E111" s="77"/>
      <c r="F111" s="78"/>
      <c r="G111" s="78"/>
      <c r="H111" s="78"/>
      <c r="I111" s="23"/>
      <c r="J111" s="2"/>
      <c r="K111" s="2"/>
      <c r="L111" s="24"/>
      <c r="M111" s="7"/>
      <c r="N111" s="81"/>
      <c r="O111" s="81"/>
    </row>
    <row r="112" spans="1:15" x14ac:dyDescent="0.2">
      <c r="A112" s="25"/>
      <c r="B112" s="168"/>
      <c r="C112" s="31"/>
      <c r="D112" s="73"/>
      <c r="E112" s="77"/>
      <c r="F112" s="78"/>
      <c r="G112" s="78"/>
      <c r="H112" s="78"/>
      <c r="I112" s="23"/>
      <c r="J112" s="2"/>
      <c r="K112" s="2"/>
      <c r="L112" s="32"/>
      <c r="M112" s="7"/>
      <c r="N112" s="81"/>
      <c r="O112" s="81"/>
    </row>
    <row r="113" spans="1:15" x14ac:dyDescent="0.2">
      <c r="A113" s="25"/>
      <c r="B113" s="168" t="s">
        <v>89</v>
      </c>
      <c r="C113" s="79"/>
      <c r="D113" s="73" t="s">
        <v>93</v>
      </c>
      <c r="E113" s="77"/>
      <c r="F113" s="78"/>
      <c r="G113" s="78"/>
      <c r="H113" s="78"/>
      <c r="I113" s="23"/>
      <c r="J113" s="2"/>
      <c r="K113" s="2"/>
      <c r="L113" s="24"/>
      <c r="M113" s="7"/>
      <c r="N113" s="81"/>
      <c r="O113" s="81"/>
    </row>
    <row r="114" spans="1:15" x14ac:dyDescent="0.2">
      <c r="A114" s="25"/>
      <c r="B114" s="168"/>
      <c r="D114" s="73"/>
      <c r="E114" s="77"/>
      <c r="F114" s="78"/>
      <c r="G114" s="78"/>
      <c r="H114" s="78"/>
      <c r="I114" s="33"/>
      <c r="J114" s="22"/>
      <c r="K114" s="34"/>
      <c r="L114" s="24"/>
      <c r="M114" s="82"/>
      <c r="N114" s="81"/>
      <c r="O114" s="81"/>
    </row>
    <row r="115" spans="1:15" x14ac:dyDescent="0.2">
      <c r="A115" s="25"/>
      <c r="B115" s="168" t="s">
        <v>90</v>
      </c>
      <c r="C115" s="29"/>
      <c r="D115" s="27" t="s">
        <v>94</v>
      </c>
      <c r="E115" s="35"/>
      <c r="F115" s="30"/>
      <c r="G115" s="35"/>
      <c r="H115" s="34"/>
      <c r="I115" s="35"/>
      <c r="J115" s="36"/>
      <c r="K115" s="34"/>
      <c r="L115" s="33"/>
      <c r="M115" s="82"/>
      <c r="N115" s="81"/>
      <c r="O115" s="81"/>
    </row>
    <row r="116" spans="1:15" x14ac:dyDescent="0.2">
      <c r="A116" s="25"/>
      <c r="C116" s="29"/>
      <c r="D116" s="30"/>
      <c r="E116" s="35"/>
      <c r="F116" s="30"/>
      <c r="G116" s="35"/>
      <c r="H116" s="34"/>
      <c r="I116" s="35"/>
      <c r="J116" s="36"/>
      <c r="K116" s="34"/>
      <c r="L116" s="33"/>
      <c r="M116" s="82"/>
      <c r="N116" s="81"/>
      <c r="O116" s="81"/>
    </row>
    <row r="117" spans="1:15" x14ac:dyDescent="0.2">
      <c r="A117" s="25"/>
      <c r="B117" s="168"/>
      <c r="D117" s="28"/>
      <c r="E117" s="33"/>
      <c r="F117" s="28"/>
      <c r="G117" s="33"/>
      <c r="H117" s="2"/>
      <c r="I117" s="33"/>
      <c r="J117" s="22"/>
      <c r="K117" s="34"/>
      <c r="L117" s="24"/>
      <c r="M117" s="82"/>
      <c r="N117" s="81"/>
      <c r="O117" s="81"/>
    </row>
    <row r="118" spans="1:15" x14ac:dyDescent="0.2">
      <c r="A118" s="25"/>
      <c r="D118" s="37"/>
      <c r="E118" s="24"/>
      <c r="F118" s="28"/>
      <c r="G118" s="24"/>
      <c r="H118" s="2"/>
      <c r="I118" s="24"/>
      <c r="J118" s="22"/>
      <c r="K118" s="2"/>
      <c r="L118" s="24"/>
      <c r="M118" s="7"/>
      <c r="N118" s="81"/>
      <c r="O118" s="81"/>
    </row>
    <row r="119" spans="1:15" x14ac:dyDescent="0.2">
      <c r="A119" s="25"/>
      <c r="B119" s="168"/>
      <c r="C119" s="29"/>
      <c r="D119" s="30"/>
      <c r="E119" s="35"/>
      <c r="F119" s="30"/>
      <c r="G119" s="35"/>
      <c r="H119" s="34"/>
      <c r="I119" s="35"/>
      <c r="J119" s="36"/>
      <c r="K119" s="34"/>
      <c r="L119" s="33"/>
      <c r="M119" s="82"/>
      <c r="N119" s="81"/>
      <c r="O119" s="81"/>
    </row>
    <row r="120" spans="1:15" x14ac:dyDescent="0.2">
      <c r="A120" s="38"/>
      <c r="B120" s="169"/>
      <c r="C120" s="39"/>
      <c r="D120" s="38"/>
      <c r="E120" s="40"/>
      <c r="F120" s="41"/>
      <c r="G120" s="38"/>
      <c r="H120" s="38"/>
      <c r="I120" s="42"/>
      <c r="J120" s="38"/>
      <c r="K120" s="38"/>
      <c r="L120" s="38"/>
    </row>
    <row r="121" spans="1:15" x14ac:dyDescent="0.2">
      <c r="A121" s="38"/>
      <c r="B121" s="169"/>
      <c r="C121" s="39"/>
      <c r="D121" s="38"/>
      <c r="E121" s="40"/>
      <c r="F121" s="41"/>
      <c r="G121" s="38"/>
      <c r="H121" s="38"/>
      <c r="I121" s="42"/>
      <c r="J121" s="38"/>
      <c r="K121" s="38"/>
      <c r="L121" s="38"/>
    </row>
    <row r="122" spans="1:15" x14ac:dyDescent="0.2">
      <c r="A122" s="38"/>
      <c r="B122" s="169"/>
      <c r="C122" s="29"/>
      <c r="D122" s="27"/>
      <c r="E122" s="43"/>
      <c r="F122" s="27"/>
      <c r="G122" s="27"/>
      <c r="H122" s="44"/>
      <c r="I122" s="42"/>
      <c r="J122" s="38"/>
      <c r="K122" s="38"/>
      <c r="L122" s="38"/>
    </row>
    <row r="123" spans="1:15" x14ac:dyDescent="0.2">
      <c r="C123" s="29"/>
      <c r="D123" s="27"/>
      <c r="E123" s="45"/>
      <c r="F123" s="27"/>
      <c r="G123" s="46"/>
      <c r="H123" s="27"/>
      <c r="I123" s="47"/>
    </row>
    <row r="124" spans="1:15" x14ac:dyDescent="0.2">
      <c r="C124" s="29"/>
      <c r="D124" s="27"/>
      <c r="E124" s="43"/>
      <c r="F124" s="27"/>
      <c r="G124" s="27"/>
      <c r="H124" s="27"/>
      <c r="I124" s="47"/>
    </row>
    <row r="125" spans="1:15" x14ac:dyDescent="0.2">
      <c r="C125" s="29"/>
      <c r="D125" s="27"/>
      <c r="E125" s="43"/>
      <c r="F125" s="27"/>
      <c r="G125" s="27"/>
      <c r="H125" s="27"/>
    </row>
    <row r="126" spans="1:15" x14ac:dyDescent="0.2">
      <c r="C126" s="29"/>
      <c r="D126" s="27"/>
      <c r="E126" s="43"/>
      <c r="F126" s="27"/>
      <c r="G126" s="27"/>
      <c r="H126" s="27"/>
    </row>
    <row r="446" spans="10:11" x14ac:dyDescent="0.2">
      <c r="J446" s="907"/>
      <c r="K446" s="907"/>
    </row>
  </sheetData>
  <sheetProtection algorithmName="SHA-512" hashValue="Rw0Eh8ieOSHLV3gDxJjJ+ojDKb4sqw501yI5OAtGnBFAyWpqcgMaHi656mSGyDo9aPENgch1vxXBS6AJsSOraA==" saltValue="+yu37vmHJkSxO6YBynRF/w==" spinCount="100000" sheet="1" objects="1" scenarios="1"/>
  <mergeCells count="16">
    <mergeCell ref="J1:L1"/>
    <mergeCell ref="A4:B4"/>
    <mergeCell ref="B64:C64"/>
    <mergeCell ref="J446:K446"/>
    <mergeCell ref="K5:L5"/>
    <mergeCell ref="A5:A6"/>
    <mergeCell ref="B5:B6"/>
    <mergeCell ref="D5:D6"/>
    <mergeCell ref="E5:F5"/>
    <mergeCell ref="G5:H5"/>
    <mergeCell ref="I5:J5"/>
    <mergeCell ref="A2:L2"/>
    <mergeCell ref="A3:L3"/>
    <mergeCell ref="F4:G4"/>
    <mergeCell ref="H4:I4"/>
    <mergeCell ref="J4:K4"/>
  </mergeCells>
  <printOptions horizontalCentered="1"/>
  <pageMargins left="0.25" right="0.25" top="0.75" bottom="0.75" header="0.3" footer="0.3"/>
  <pageSetup paperSize="8" scale="85" orientation="landscape" r:id="rId1"/>
  <ignoredErrors>
    <ignoredError sqref="F10 H31 J31 L31 L15 L37:L46 L51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1"/>
  <sheetViews>
    <sheetView tabSelected="1" zoomScale="115" zoomScaleNormal="115" workbookViewId="0">
      <selection activeCell="K31" sqref="K31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7.125" style="583" customWidth="1"/>
    <col min="10" max="10" width="10.125" style="880" customWidth="1"/>
    <col min="11" max="11" width="13.5" style="880" customWidth="1"/>
    <col min="12" max="12" width="14" style="880" customWidth="1"/>
    <col min="13" max="13" width="9" style="764" customWidth="1"/>
    <col min="14" max="14" width="9" style="583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005" t="s">
        <v>163</v>
      </c>
      <c r="H1" s="1005"/>
      <c r="I1" s="1005"/>
      <c r="M1" s="765"/>
      <c r="N1" s="734"/>
    </row>
    <row r="2" spans="1:22" ht="14.25" x14ac:dyDescent="0.2">
      <c r="A2" s="605"/>
      <c r="B2" s="605"/>
      <c r="C2" s="605"/>
      <c r="D2" s="605"/>
      <c r="E2" s="605"/>
      <c r="F2" s="605"/>
      <c r="G2" s="1005"/>
      <c r="H2" s="1005"/>
      <c r="I2" s="1005"/>
      <c r="L2" s="898"/>
      <c r="M2" s="765"/>
      <c r="N2" s="734"/>
    </row>
    <row r="3" spans="1:22" ht="14.25" x14ac:dyDescent="0.2">
      <c r="A3" s="605"/>
      <c r="B3" s="605"/>
      <c r="C3" s="605"/>
      <c r="D3" s="605"/>
      <c r="E3" s="605"/>
      <c r="F3" s="605"/>
      <c r="G3" s="1005"/>
      <c r="H3" s="1005"/>
      <c r="I3" s="1005"/>
      <c r="L3" s="898"/>
      <c r="M3" s="765"/>
      <c r="N3" s="734"/>
    </row>
    <row r="4" spans="1:22" ht="15" x14ac:dyDescent="0.25">
      <c r="A4" s="639"/>
      <c r="B4" s="639"/>
      <c r="C4" s="1111" t="s">
        <v>117</v>
      </c>
      <c r="D4" s="1111"/>
      <c r="E4" s="1111"/>
      <c r="F4" s="1111"/>
      <c r="G4" s="1111"/>
      <c r="H4" s="1111"/>
      <c r="I4" s="1111"/>
    </row>
    <row r="5" spans="1:22" ht="15" x14ac:dyDescent="0.25">
      <c r="A5" s="639"/>
      <c r="B5" s="639"/>
      <c r="C5" s="1111" t="s">
        <v>100</v>
      </c>
      <c r="D5" s="1111"/>
      <c r="E5" s="1111"/>
      <c r="F5" s="1111"/>
      <c r="G5" s="1111"/>
      <c r="H5" s="1111"/>
      <c r="I5" s="1111"/>
    </row>
    <row r="6" spans="1:22" ht="15" x14ac:dyDescent="0.25">
      <c r="A6" s="617"/>
      <c r="B6" s="1112" t="s">
        <v>192</v>
      </c>
      <c r="C6" s="1112"/>
      <c r="D6" s="1112"/>
      <c r="E6" s="1112"/>
      <c r="F6" s="1112"/>
      <c r="G6" s="1112"/>
      <c r="H6" s="1112"/>
      <c r="I6" s="1112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132" t="s">
        <v>118</v>
      </c>
      <c r="H7" s="1132"/>
      <c r="I7" s="1132"/>
      <c r="J7" s="881"/>
      <c r="K7" s="882"/>
    </row>
    <row r="8" spans="1:22" x14ac:dyDescent="0.2">
      <c r="A8" s="1113" t="s">
        <v>0</v>
      </c>
      <c r="B8" s="1115" t="s">
        <v>8</v>
      </c>
      <c r="C8" s="1116"/>
      <c r="D8" s="1119" t="s">
        <v>20</v>
      </c>
      <c r="E8" s="1121" t="s">
        <v>21</v>
      </c>
      <c r="F8" s="1123" t="s">
        <v>191</v>
      </c>
      <c r="G8" s="1124"/>
      <c r="H8" s="1133" t="s">
        <v>101</v>
      </c>
      <c r="I8" s="1134"/>
      <c r="J8" s="1170"/>
      <c r="K8" s="1170"/>
    </row>
    <row r="9" spans="1:22" ht="13.5" thickBot="1" x14ac:dyDescent="0.25">
      <c r="A9" s="1114"/>
      <c r="B9" s="1117"/>
      <c r="C9" s="1118"/>
      <c r="D9" s="1120"/>
      <c r="E9" s="1122"/>
      <c r="F9" s="642" t="s">
        <v>26</v>
      </c>
      <c r="G9" s="643" t="s">
        <v>6</v>
      </c>
      <c r="H9" s="642" t="s">
        <v>26</v>
      </c>
      <c r="I9" s="643" t="s">
        <v>6</v>
      </c>
      <c r="J9" s="883"/>
      <c r="K9" s="883"/>
    </row>
    <row r="10" spans="1:22" ht="13.5" thickBot="1" x14ac:dyDescent="0.25">
      <c r="A10" s="737" t="s">
        <v>27</v>
      </c>
      <c r="B10" s="1126" t="s">
        <v>28</v>
      </c>
      <c r="C10" s="1127"/>
      <c r="D10" s="901">
        <v>1</v>
      </c>
      <c r="E10" s="739">
        <v>2</v>
      </c>
      <c r="F10" s="740">
        <v>3</v>
      </c>
      <c r="G10" s="741">
        <v>4</v>
      </c>
      <c r="H10" s="740">
        <v>5</v>
      </c>
      <c r="I10" s="741">
        <v>6</v>
      </c>
      <c r="J10" s="884"/>
      <c r="K10" s="884"/>
    </row>
    <row r="11" spans="1:22" ht="13.5" thickBot="1" x14ac:dyDescent="0.25">
      <c r="A11" s="585">
        <v>1</v>
      </c>
      <c r="B11" s="1128" t="s">
        <v>29</v>
      </c>
      <c r="C11" s="1129"/>
      <c r="D11" s="680" t="s">
        <v>30</v>
      </c>
      <c r="E11" s="702">
        <v>94250</v>
      </c>
      <c r="F11" s="660"/>
      <c r="G11" s="712">
        <f>$E11*F11</f>
        <v>0</v>
      </c>
      <c r="H11" s="598">
        <f>F11+'Гүйцэтгэл_2023_6 сар '!H11</f>
        <v>122.80000000000001</v>
      </c>
      <c r="I11" s="712">
        <f>H11*$E$11</f>
        <v>11573900.000000002</v>
      </c>
      <c r="J11" s="885">
        <f>Тодотгол_2023_хавсралт_2!F11-H11</f>
        <v>0</v>
      </c>
      <c r="K11" s="885">
        <f>Тодотгол_2023_хавсралт_2!G11-I11</f>
        <v>0</v>
      </c>
      <c r="L11" s="899"/>
      <c r="M11" s="766"/>
      <c r="N11" s="638"/>
      <c r="O11" s="638"/>
      <c r="P11" s="638"/>
    </row>
    <row r="12" spans="1:22" ht="13.5" thickBot="1" x14ac:dyDescent="0.25">
      <c r="A12" s="587">
        <v>2</v>
      </c>
      <c r="B12" s="1130" t="s">
        <v>35</v>
      </c>
      <c r="C12" s="1131"/>
      <c r="D12" s="681"/>
      <c r="E12" s="588"/>
      <c r="F12" s="589"/>
      <c r="G12" s="653">
        <f>G11</f>
        <v>0</v>
      </c>
      <c r="H12" s="657"/>
      <c r="I12" s="653">
        <f>SUM(I11:I11)</f>
        <v>11573900.000000002</v>
      </c>
      <c r="J12" s="885">
        <f>Тодотгол_2023_хавсралт_2!F12-H12</f>
        <v>0</v>
      </c>
      <c r="K12" s="885">
        <f>Тодотгол_2023_хавсралт_2!G12-I12</f>
        <v>0</v>
      </c>
      <c r="L12" s="899"/>
      <c r="M12" s="766"/>
      <c r="N12" s="638"/>
      <c r="O12" s="638"/>
      <c r="P12" s="638"/>
    </row>
    <row r="13" spans="1:22" ht="15.75" thickBot="1" x14ac:dyDescent="0.25">
      <c r="A13" s="587">
        <v>3</v>
      </c>
      <c r="B13" s="1171" t="s">
        <v>41</v>
      </c>
      <c r="C13" s="1172"/>
      <c r="D13" s="685" t="s">
        <v>40</v>
      </c>
      <c r="E13" s="647">
        <v>55000</v>
      </c>
      <c r="F13" s="897"/>
      <c r="G13" s="690">
        <f>$E13*F13</f>
        <v>0</v>
      </c>
      <c r="H13" s="598">
        <f>F13+'Гүйцэтгэл_2023_6 сар '!H13</f>
        <v>720.63635999999997</v>
      </c>
      <c r="I13" s="690">
        <f>H13*$E13</f>
        <v>39634999.799999997</v>
      </c>
      <c r="J13" s="885">
        <f>Тодотгол_2023_хавсралт_2!F13-H13</f>
        <v>0</v>
      </c>
      <c r="K13" s="885">
        <f>Тодотгол_2023_хавсралт_2!G13-I13</f>
        <v>0</v>
      </c>
      <c r="L13" s="899"/>
      <c r="M13" s="766"/>
      <c r="N13" s="638"/>
      <c r="O13" s="638"/>
      <c r="P13" s="638"/>
    </row>
    <row r="14" spans="1:22" ht="13.5" thickBot="1" x14ac:dyDescent="0.25">
      <c r="A14" s="895">
        <v>4</v>
      </c>
      <c r="B14" s="1173" t="s">
        <v>42</v>
      </c>
      <c r="C14" s="1174"/>
      <c r="D14" s="896"/>
      <c r="E14" s="703"/>
      <c r="F14" s="713"/>
      <c r="G14" s="714">
        <f>SUM(G13:G13)</f>
        <v>0</v>
      </c>
      <c r="H14" s="660"/>
      <c r="I14" s="714">
        <f>SUM(I13:I13)</f>
        <v>39634999.799999997</v>
      </c>
      <c r="J14" s="885">
        <f>Тодотгол_2023_хавсралт_2!F14-H14</f>
        <v>0</v>
      </c>
      <c r="K14" s="885">
        <f>Тодотгол_2023_хавсралт_2!G14-I14</f>
        <v>0.20000000298023224</v>
      </c>
      <c r="L14" s="899"/>
      <c r="M14" s="766"/>
      <c r="N14" s="638"/>
      <c r="O14" s="638"/>
      <c r="P14" s="638"/>
    </row>
    <row r="15" spans="1:22" s="593" customFormat="1" ht="13.5" thickBot="1" x14ac:dyDescent="0.25">
      <c r="A15" s="587">
        <v>5</v>
      </c>
      <c r="B15" s="1163" t="s">
        <v>49</v>
      </c>
      <c r="C15" s="1163"/>
      <c r="D15" s="735"/>
      <c r="E15" s="704"/>
      <c r="F15" s="715"/>
      <c r="G15" s="689">
        <f>SUM(G14)</f>
        <v>0</v>
      </c>
      <c r="H15" s="657"/>
      <c r="I15" s="689">
        <f>SUM(I14)</f>
        <v>39634999.799999997</v>
      </c>
      <c r="J15" s="885">
        <f>Тодотгол_2023_хавсралт_2!F15-H15</f>
        <v>0</v>
      </c>
      <c r="K15" s="885">
        <f>Тодотгол_2023_хавсралт_2!G15-I15</f>
        <v>0.20000000298023224</v>
      </c>
      <c r="L15" s="899"/>
      <c r="M15" s="766"/>
      <c r="N15" s="638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57" t="s">
        <v>52</v>
      </c>
      <c r="C16" s="1158"/>
      <c r="D16" s="586" t="s">
        <v>53</v>
      </c>
      <c r="E16" s="705">
        <f>92811*0.1+92811</f>
        <v>102092.1</v>
      </c>
      <c r="F16" s="716">
        <v>6</v>
      </c>
      <c r="G16" s="717">
        <f t="shared" ref="G16:G22" si="0">$E16*F16</f>
        <v>612552.60000000009</v>
      </c>
      <c r="H16" s="598">
        <f>F16+'Гүйцэтгэл_2023_6 сар '!H16</f>
        <v>66</v>
      </c>
      <c r="I16" s="717">
        <f t="shared" ref="I16:I22" si="1">H16*$E16</f>
        <v>6738078.6000000006</v>
      </c>
      <c r="J16" s="885">
        <f>Тодотгол_2023_хавсралт_2!F16-H16</f>
        <v>24</v>
      </c>
      <c r="K16" s="885">
        <f>Тодотгол_2023_хавсралт_2!G16-I16</f>
        <v>2450210.3999999994</v>
      </c>
      <c r="L16" s="899"/>
      <c r="M16" s="766"/>
      <c r="N16" s="638"/>
      <c r="O16" s="638"/>
      <c r="P16" s="638"/>
    </row>
    <row r="17" spans="1:16" ht="27.75" customHeight="1" x14ac:dyDescent="0.2">
      <c r="A17" s="594">
        <v>7</v>
      </c>
      <c r="B17" s="1159" t="s">
        <v>54</v>
      </c>
      <c r="C17" s="1160"/>
      <c r="D17" s="595" t="s">
        <v>53</v>
      </c>
      <c r="E17" s="650">
        <f>92846*0.1+92846</f>
        <v>102130.6</v>
      </c>
      <c r="F17" s="720">
        <v>20</v>
      </c>
      <c r="G17" s="719">
        <f t="shared" si="0"/>
        <v>2042612</v>
      </c>
      <c r="H17" s="598">
        <f>F17+'Гүйцэтгэл_2023_6 сар '!H17</f>
        <v>290</v>
      </c>
      <c r="I17" s="719">
        <f t="shared" si="1"/>
        <v>29617874</v>
      </c>
      <c r="J17" s="885">
        <f>Тодотгол_2023_хавсралт_2!F17-H17</f>
        <v>70</v>
      </c>
      <c r="K17" s="885">
        <f>Тодотгол_2023_хавсралт_2!G17-I17</f>
        <v>7149142</v>
      </c>
      <c r="L17" s="899"/>
      <c r="M17" s="766"/>
      <c r="N17" s="638"/>
      <c r="O17" s="638"/>
      <c r="P17" s="638"/>
    </row>
    <row r="18" spans="1:16" ht="15" x14ac:dyDescent="0.25">
      <c r="A18" s="594">
        <v>8</v>
      </c>
      <c r="B18" s="1159" t="s">
        <v>55</v>
      </c>
      <c r="C18" s="1160"/>
      <c r="D18" s="595" t="s">
        <v>33</v>
      </c>
      <c r="E18" s="650">
        <v>4000000</v>
      </c>
      <c r="F18" s="718">
        <v>2</v>
      </c>
      <c r="G18" s="719">
        <f t="shared" si="0"/>
        <v>8000000</v>
      </c>
      <c r="H18" s="598">
        <f>F18+'Гүйцэтгэл_2023_6 сар '!H18</f>
        <v>8.875</v>
      </c>
      <c r="I18" s="719">
        <f t="shared" si="1"/>
        <v>35500000</v>
      </c>
      <c r="J18" s="885">
        <f>Тодотгол_2023_хавсралт_2!F18-H18</f>
        <v>2.125</v>
      </c>
      <c r="K18" s="885">
        <f>Тодотгол_2023_хавсралт_2!G18-I18</f>
        <v>8500000</v>
      </c>
      <c r="L18" s="899"/>
      <c r="M18" s="766"/>
      <c r="N18" s="638"/>
      <c r="O18" s="638"/>
      <c r="P18" s="638"/>
    </row>
    <row r="19" spans="1:16" ht="28.5" customHeight="1" x14ac:dyDescent="0.2">
      <c r="A19" s="594">
        <v>9</v>
      </c>
      <c r="B19" s="1161" t="s">
        <v>56</v>
      </c>
      <c r="C19" s="1162"/>
      <c r="D19" s="595" t="s">
        <v>33</v>
      </c>
      <c r="E19" s="650">
        <v>4000000</v>
      </c>
      <c r="F19" s="720">
        <v>1</v>
      </c>
      <c r="G19" s="719">
        <f t="shared" si="0"/>
        <v>4000000</v>
      </c>
      <c r="H19" s="598">
        <f>F19+'Гүйцэтгэл_2023_6 сар '!H19</f>
        <v>31.75</v>
      </c>
      <c r="I19" s="719">
        <f t="shared" si="1"/>
        <v>127000000</v>
      </c>
      <c r="J19" s="885">
        <f>Тодотгол_2023_хавсралт_2!F19-H19</f>
        <v>9.25</v>
      </c>
      <c r="K19" s="885">
        <f>Тодотгол_2023_хавсралт_2!G19-I19</f>
        <v>37000000</v>
      </c>
      <c r="L19" s="899"/>
      <c r="M19" s="766"/>
      <c r="N19" s="638"/>
      <c r="O19" s="638"/>
      <c r="P19" s="638"/>
    </row>
    <row r="20" spans="1:16" ht="24" customHeight="1" x14ac:dyDescent="0.2">
      <c r="A20" s="594">
        <v>10</v>
      </c>
      <c r="B20" s="1159" t="s">
        <v>57</v>
      </c>
      <c r="C20" s="1160"/>
      <c r="D20" s="595" t="s">
        <v>53</v>
      </c>
      <c r="E20" s="650">
        <f>92846</f>
        <v>92846</v>
      </c>
      <c r="F20" s="720">
        <v>113</v>
      </c>
      <c r="G20" s="719">
        <f t="shared" si="0"/>
        <v>10491598</v>
      </c>
      <c r="H20" s="598">
        <f>F20+'Гүйцэтгэл_2023_6 сар '!H20</f>
        <v>678</v>
      </c>
      <c r="I20" s="719">
        <f t="shared" si="1"/>
        <v>62949588</v>
      </c>
      <c r="J20" s="885">
        <f>Тодотгол_2023_хавсралт_2!F20-H20</f>
        <v>339</v>
      </c>
      <c r="K20" s="885">
        <f>Тодотгол_2023_хавсралт_2!G20-I20</f>
        <v>31474794</v>
      </c>
      <c r="L20" s="899"/>
      <c r="M20" s="766"/>
      <c r="N20" s="638"/>
      <c r="O20" s="638"/>
      <c r="P20" s="638"/>
    </row>
    <row r="21" spans="1:16" x14ac:dyDescent="0.2">
      <c r="A21" s="594">
        <v>11</v>
      </c>
      <c r="B21" s="1161" t="s">
        <v>16</v>
      </c>
      <c r="C21" s="1162"/>
      <c r="D21" s="595" t="s">
        <v>58</v>
      </c>
      <c r="E21" s="650">
        <f>93160.75*0.1+93160.75</f>
        <v>102476.825</v>
      </c>
      <c r="F21" s="599"/>
      <c r="G21" s="719">
        <f t="shared" si="0"/>
        <v>0</v>
      </c>
      <c r="H21" s="598">
        <f>F21+'Гүйцэтгэл_2023_4 сар'!H21</f>
        <v>0</v>
      </c>
      <c r="I21" s="719">
        <f t="shared" si="1"/>
        <v>0</v>
      </c>
      <c r="J21" s="885">
        <f>Тодотгол_2023_хавсралт_2!F21-H21</f>
        <v>1017.6</v>
      </c>
      <c r="K21" s="885">
        <f>Тодотгол_2023_хавсралт_2!G21-I21</f>
        <v>104280417.12</v>
      </c>
      <c r="L21" s="899"/>
      <c r="M21" s="766"/>
      <c r="N21" s="638"/>
      <c r="O21" s="638"/>
      <c r="P21" s="638"/>
    </row>
    <row r="22" spans="1:16" ht="13.5" thickBot="1" x14ac:dyDescent="0.25">
      <c r="A22" s="591">
        <v>12</v>
      </c>
      <c r="B22" s="1153" t="s">
        <v>59</v>
      </c>
      <c r="C22" s="1154"/>
      <c r="D22" s="736" t="s">
        <v>60</v>
      </c>
      <c r="E22" s="648">
        <f>123810*0.1+123810</f>
        <v>136191</v>
      </c>
      <c r="F22" s="654"/>
      <c r="G22" s="721">
        <f t="shared" si="0"/>
        <v>0</v>
      </c>
      <c r="H22" s="598">
        <f>F22+'Гүйцэтгэл_2023_4 сар'!H22</f>
        <v>0</v>
      </c>
      <c r="I22" s="721">
        <f t="shared" si="1"/>
        <v>0</v>
      </c>
      <c r="J22" s="885">
        <f>Тодотгол_2023_хавсралт_2!F22-H22</f>
        <v>164</v>
      </c>
      <c r="K22" s="885">
        <f>Тодотгол_2023_хавсралт_2!G22-I22</f>
        <v>22335324</v>
      </c>
      <c r="L22" s="899"/>
      <c r="M22" s="766"/>
      <c r="N22" s="638"/>
      <c r="O22" s="638"/>
      <c r="P22" s="638"/>
    </row>
    <row r="23" spans="1:16" ht="13.5" thickBot="1" x14ac:dyDescent="0.25">
      <c r="A23" s="585">
        <v>13</v>
      </c>
      <c r="B23" s="1155" t="s">
        <v>61</v>
      </c>
      <c r="C23" s="1156"/>
      <c r="D23" s="683"/>
      <c r="E23" s="706"/>
      <c r="F23" s="679"/>
      <c r="G23" s="743">
        <f>SUM(G16:G22)</f>
        <v>25146762.600000001</v>
      </c>
      <c r="H23" s="657"/>
      <c r="I23" s="653">
        <f>SUM(I16:I22)</f>
        <v>261805540.59999999</v>
      </c>
      <c r="J23" s="885">
        <f>Тодотгол_2023_хавсралт_2!F23-H23</f>
        <v>0</v>
      </c>
      <c r="K23" s="885">
        <f>Тодотгол_2023_хавсралт_2!G23-I23</f>
        <v>213189887.52000001</v>
      </c>
      <c r="L23" s="899"/>
      <c r="M23" s="766"/>
      <c r="N23" s="638"/>
      <c r="O23" s="638"/>
      <c r="P23" s="638"/>
    </row>
    <row r="24" spans="1:16" ht="13.5" thickBot="1" x14ac:dyDescent="0.25">
      <c r="A24" s="600">
        <v>14</v>
      </c>
      <c r="B24" s="1143" t="s">
        <v>84</v>
      </c>
      <c r="C24" s="1144"/>
      <c r="D24" s="686"/>
      <c r="E24" s="678"/>
      <c r="F24" s="722"/>
      <c r="G24" s="744">
        <f>G23+G12+G15</f>
        <v>25146762.600000001</v>
      </c>
      <c r="H24" s="657"/>
      <c r="I24" s="653">
        <f>I23+I12+I15</f>
        <v>313014440.40000004</v>
      </c>
      <c r="J24" s="885">
        <f>Тодотгол_2023_хавсралт_2!F24-H24</f>
        <v>0</v>
      </c>
      <c r="K24" s="885">
        <f>Тодотгол_2023_хавсралт_2!G24-I24</f>
        <v>213189887.71999997</v>
      </c>
      <c r="L24" s="899"/>
      <c r="M24" s="766"/>
      <c r="N24" s="638"/>
      <c r="O24" s="638"/>
      <c r="P24" s="638"/>
    </row>
    <row r="25" spans="1:16" ht="13.5" thickBot="1" x14ac:dyDescent="0.25">
      <c r="A25" s="587">
        <v>15</v>
      </c>
      <c r="B25" s="1168" t="s">
        <v>78</v>
      </c>
      <c r="C25" s="1169"/>
      <c r="D25" s="760" t="s">
        <v>79</v>
      </c>
      <c r="E25" s="647">
        <v>1500000</v>
      </c>
      <c r="F25" s="652">
        <v>1</v>
      </c>
      <c r="G25" s="690">
        <f>$E25*F25</f>
        <v>1500000</v>
      </c>
      <c r="H25" s="598">
        <f>F25+'Гүйцэтгэл_2023_6 сар '!H25</f>
        <v>7</v>
      </c>
      <c r="I25" s="890">
        <f>H25*$E25</f>
        <v>10500000</v>
      </c>
      <c r="J25" s="885">
        <f>Тодотгол_2023_хавсралт_2!F25-H25</f>
        <v>5</v>
      </c>
      <c r="K25" s="885">
        <f>Тодотгол_2023_хавсралт_2!G25-I25</f>
        <v>7500000</v>
      </c>
      <c r="L25" s="899"/>
      <c r="M25" s="766"/>
      <c r="N25" s="638"/>
      <c r="O25" s="638"/>
      <c r="P25" s="638"/>
    </row>
    <row r="26" spans="1:16" ht="13.5" thickBot="1" x14ac:dyDescent="0.25">
      <c r="A26" s="590">
        <v>16</v>
      </c>
      <c r="B26" s="1145" t="s">
        <v>83</v>
      </c>
      <c r="C26" s="1146"/>
      <c r="D26" s="692"/>
      <c r="E26" s="707"/>
      <c r="F26" s="660"/>
      <c r="G26" s="724">
        <f>SUM(G25:G25)</f>
        <v>1500000</v>
      </c>
      <c r="H26" s="728"/>
      <c r="I26" s="724">
        <f>SUM(I25:I25)</f>
        <v>10500000</v>
      </c>
      <c r="J26" s="885">
        <f>Тодотгол_2023_хавсралт_2!F26-H26</f>
        <v>0</v>
      </c>
      <c r="K26" s="885">
        <f>Тодотгол_2023_хавсралт_2!G26-I26</f>
        <v>7500000</v>
      </c>
      <c r="L26" s="899"/>
      <c r="M26" s="766"/>
      <c r="O26" s="638"/>
      <c r="P26" s="638"/>
    </row>
    <row r="27" spans="1:16" ht="13.5" thickBot="1" x14ac:dyDescent="0.25">
      <c r="A27" s="693">
        <v>17</v>
      </c>
      <c r="B27" s="1147" t="s">
        <v>106</v>
      </c>
      <c r="C27" s="1148"/>
      <c r="D27" s="687"/>
      <c r="E27" s="647"/>
      <c r="F27" s="657"/>
      <c r="G27" s="699">
        <f>G26</f>
        <v>1500000</v>
      </c>
      <c r="H27" s="729"/>
      <c r="I27" s="699">
        <f>I26</f>
        <v>10500000</v>
      </c>
      <c r="J27" s="885">
        <f>Тодотгол_2023_хавсралт_2!F27-H27</f>
        <v>0</v>
      </c>
      <c r="K27" s="885">
        <f>Тодотгол_2023_хавсралт_2!G27-I27</f>
        <v>7500000</v>
      </c>
      <c r="L27" s="899"/>
      <c r="M27" s="766"/>
      <c r="O27" s="638"/>
      <c r="P27" s="638"/>
    </row>
    <row r="28" spans="1:16" ht="13.5" thickBot="1" x14ac:dyDescent="0.25">
      <c r="A28" s="600">
        <v>18</v>
      </c>
      <c r="B28" s="1149" t="s">
        <v>102</v>
      </c>
      <c r="C28" s="1150"/>
      <c r="D28" s="700"/>
      <c r="E28" s="708"/>
      <c r="F28" s="725"/>
      <c r="G28" s="726"/>
      <c r="H28" s="730"/>
      <c r="I28" s="726"/>
      <c r="J28" s="885">
        <f>Тодотгол_2023_хавсралт_2!F28-H28</f>
        <v>0</v>
      </c>
      <c r="K28" s="885">
        <f>Тодотгол_2023_хавсралт_2!G28-I28</f>
        <v>544204328.12</v>
      </c>
      <c r="L28" s="899"/>
      <c r="M28" s="766"/>
      <c r="O28" s="638"/>
      <c r="P28" s="638"/>
    </row>
    <row r="29" spans="1:16" ht="13.5" thickBot="1" x14ac:dyDescent="0.25">
      <c r="A29" s="693">
        <v>19</v>
      </c>
      <c r="B29" s="1151" t="s">
        <v>1</v>
      </c>
      <c r="C29" s="1152"/>
      <c r="D29" s="701" t="s">
        <v>2</v>
      </c>
      <c r="E29" s="709"/>
      <c r="F29" s="657"/>
      <c r="G29" s="699">
        <f>G24+G27</f>
        <v>26646762.600000001</v>
      </c>
      <c r="H29" s="731"/>
      <c r="I29" s="699">
        <f>I27+I24</f>
        <v>323514440.40000004</v>
      </c>
      <c r="J29" s="885">
        <f>Тодотгол_2023_хавсралт_2!F29-H29</f>
        <v>0</v>
      </c>
      <c r="K29" s="885">
        <f>Тодотгол_2023_хавсралт_2!G29-I29</f>
        <v>-269094007.58800006</v>
      </c>
      <c r="L29" s="899"/>
      <c r="M29" s="766"/>
      <c r="O29" s="638"/>
      <c r="P29" s="638"/>
    </row>
    <row r="30" spans="1:16" ht="13.5" thickBot="1" x14ac:dyDescent="0.25">
      <c r="A30" s="600">
        <v>20</v>
      </c>
      <c r="B30" s="1135" t="s">
        <v>103</v>
      </c>
      <c r="C30" s="1136"/>
      <c r="D30" s="685" t="s">
        <v>2</v>
      </c>
      <c r="E30" s="710"/>
      <c r="F30" s="657"/>
      <c r="G30" s="699">
        <f>G29*0.1</f>
        <v>2664676.2600000002</v>
      </c>
      <c r="H30" s="732"/>
      <c r="I30" s="699">
        <f>I29*0.1</f>
        <v>32351444.040000007</v>
      </c>
      <c r="J30" s="885">
        <f>Тодотгол_2023_хавсралт_2!F30-H30</f>
        <v>0</v>
      </c>
      <c r="K30" s="885">
        <f>Тодотгол_2023_хавсралт_2!G30-I30</f>
        <v>-29884950.040000007</v>
      </c>
      <c r="L30" s="899"/>
      <c r="M30" s="766"/>
      <c r="O30" s="638"/>
      <c r="P30" s="638"/>
    </row>
    <row r="31" spans="1:16" ht="13.5" thickBot="1" x14ac:dyDescent="0.25">
      <c r="A31" s="587">
        <v>21</v>
      </c>
      <c r="B31" s="1137" t="s">
        <v>104</v>
      </c>
      <c r="C31" s="1138"/>
      <c r="D31" s="688"/>
      <c r="E31" s="711"/>
      <c r="F31" s="658"/>
      <c r="G31" s="699">
        <f>SUM(G29:G30)</f>
        <v>29311438.860000003</v>
      </c>
      <c r="H31" s="733"/>
      <c r="I31" s="699">
        <f>SUM(I29:I30)</f>
        <v>355865884.44000006</v>
      </c>
      <c r="J31" s="885">
        <f>Тодотгол_2023_хавсралт_2!F31-H31</f>
        <v>0</v>
      </c>
      <c r="K31" s="885">
        <f>Тодотгол_2023_хавсралт_2!G31-I31</f>
        <v>245225370.49199998</v>
      </c>
      <c r="L31" s="899"/>
      <c r="M31" s="766"/>
      <c r="O31" s="638"/>
      <c r="P31" s="638"/>
    </row>
    <row r="32" spans="1:16" ht="15.75" x14ac:dyDescent="0.25">
      <c r="A32" s="698"/>
      <c r="B32" s="601"/>
      <c r="C32" s="602" t="s">
        <v>107</v>
      </c>
      <c r="D32" s="603"/>
      <c r="E32" s="603"/>
      <c r="F32" s="604" t="s">
        <v>108</v>
      </c>
      <c r="G32" s="605"/>
      <c r="H32" s="606"/>
      <c r="I32" s="607">
        <f>'Гүйцэтгэл_2023_6 сар '!I31+'Гүйцэтгэл_2023_7 сар'!G31-'Гүйцэтгэл_2023_7 сар'!I31</f>
        <v>0</v>
      </c>
      <c r="J32" s="885"/>
      <c r="K32" s="885">
        <f>K31+I31-Тодотгол_2023_хавсралт_2!G31</f>
        <v>0</v>
      </c>
      <c r="L32" s="900"/>
      <c r="O32" s="638"/>
      <c r="P32" s="638"/>
    </row>
    <row r="33" spans="1:16" ht="15.75" x14ac:dyDescent="0.25">
      <c r="A33" s="608"/>
      <c r="B33" s="609"/>
      <c r="C33" s="602"/>
      <c r="D33" s="603"/>
      <c r="E33" s="603"/>
      <c r="F33" s="604"/>
      <c r="G33" s="605"/>
      <c r="H33" s="609"/>
      <c r="I33" s="610"/>
      <c r="J33" s="885"/>
      <c r="K33" s="886"/>
      <c r="L33" s="899"/>
      <c r="O33" s="638"/>
      <c r="P33" s="638"/>
    </row>
    <row r="34" spans="1:16" ht="15" x14ac:dyDescent="0.25">
      <c r="A34" s="608"/>
      <c r="B34" s="609"/>
      <c r="C34" s="611" t="s">
        <v>109</v>
      </c>
      <c r="D34" s="612"/>
      <c r="E34" s="612"/>
      <c r="F34" s="604" t="s">
        <v>113</v>
      </c>
      <c r="G34" s="605"/>
      <c r="H34" s="609"/>
      <c r="I34" s="610"/>
      <c r="J34" s="885"/>
      <c r="K34" s="886"/>
      <c r="L34" s="899"/>
      <c r="O34" s="638"/>
    </row>
    <row r="35" spans="1:16" ht="15" x14ac:dyDescent="0.25">
      <c r="A35" s="613"/>
      <c r="B35" s="614"/>
      <c r="C35" s="611"/>
      <c r="D35" s="612"/>
      <c r="E35" s="612"/>
      <c r="F35" s="604"/>
      <c r="G35" s="605"/>
      <c r="H35" s="609"/>
      <c r="I35" s="609"/>
      <c r="J35" s="885"/>
      <c r="K35" s="887"/>
      <c r="L35" s="899"/>
      <c r="O35" s="638"/>
    </row>
    <row r="36" spans="1:16" ht="15" x14ac:dyDescent="0.25">
      <c r="A36" s="613"/>
      <c r="B36" s="614"/>
      <c r="C36" s="611" t="s">
        <v>110</v>
      </c>
      <c r="D36" s="612"/>
      <c r="E36" s="612"/>
      <c r="F36" s="604" t="s">
        <v>111</v>
      </c>
      <c r="G36" s="615"/>
      <c r="H36" s="609"/>
      <c r="I36" s="609"/>
      <c r="J36" s="885"/>
      <c r="K36" s="887"/>
      <c r="N36" s="638"/>
    </row>
    <row r="37" spans="1:16" ht="15" x14ac:dyDescent="0.25">
      <c r="A37" s="608"/>
      <c r="B37" s="613"/>
      <c r="C37" s="611"/>
      <c r="D37" s="612"/>
      <c r="E37" s="612"/>
      <c r="F37" s="604"/>
      <c r="G37" s="615"/>
      <c r="H37" s="609"/>
      <c r="I37" s="609"/>
      <c r="J37" s="885"/>
      <c r="K37" s="886"/>
      <c r="L37" s="899"/>
      <c r="O37" s="638"/>
    </row>
    <row r="38" spans="1:16" ht="15" x14ac:dyDescent="0.25">
      <c r="A38" s="604" t="s">
        <v>119</v>
      </c>
      <c r="B38" s="614"/>
      <c r="C38" s="903" t="s">
        <v>112</v>
      </c>
      <c r="D38" s="615"/>
      <c r="E38" s="615"/>
      <c r="F38" s="604" t="s">
        <v>190</v>
      </c>
      <c r="G38" s="615"/>
      <c r="H38" s="609"/>
      <c r="I38" s="609"/>
      <c r="J38" s="885"/>
      <c r="K38" s="886"/>
      <c r="L38" s="899"/>
      <c r="O38" s="638"/>
    </row>
    <row r="39" spans="1:16" ht="15" x14ac:dyDescent="0.25">
      <c r="A39" s="604" t="s">
        <v>120</v>
      </c>
      <c r="B39" s="613"/>
      <c r="D39" s="615"/>
      <c r="E39" s="615"/>
      <c r="F39" s="583"/>
      <c r="G39" s="615"/>
      <c r="H39" s="609"/>
      <c r="I39" s="609"/>
      <c r="J39" s="885"/>
      <c r="K39" s="886"/>
      <c r="L39" s="899"/>
      <c r="O39" s="638"/>
    </row>
    <row r="40" spans="1:16" ht="15" x14ac:dyDescent="0.25">
      <c r="A40" s="604"/>
      <c r="B40" s="902"/>
      <c r="C40" s="903" t="s">
        <v>114</v>
      </c>
      <c r="D40" s="615"/>
      <c r="E40" s="615"/>
      <c r="F40" s="617" t="s">
        <v>164</v>
      </c>
      <c r="G40" s="604"/>
      <c r="H40" s="604"/>
      <c r="I40" s="604"/>
      <c r="J40" s="885"/>
      <c r="K40" s="886"/>
      <c r="L40" s="899"/>
      <c r="O40" s="638"/>
    </row>
    <row r="41" spans="1:16" ht="14.25" x14ac:dyDescent="0.2">
      <c r="A41" s="608"/>
      <c r="B41" s="609"/>
      <c r="D41" s="583"/>
      <c r="F41" s="583"/>
      <c r="H41" s="609"/>
      <c r="I41" s="609"/>
      <c r="K41" s="888"/>
    </row>
    <row r="42" spans="1:16" ht="15" x14ac:dyDescent="0.25">
      <c r="A42" s="613"/>
      <c r="B42" s="608"/>
      <c r="C42" s="903" t="s">
        <v>115</v>
      </c>
      <c r="D42" s="615"/>
      <c r="E42" s="615"/>
      <c r="F42" s="604" t="s">
        <v>116</v>
      </c>
      <c r="G42" s="604"/>
      <c r="H42" s="609"/>
      <c r="I42" s="609"/>
    </row>
    <row r="43" spans="1:16" ht="14.25" x14ac:dyDescent="0.2">
      <c r="A43" s="615"/>
      <c r="B43" s="615"/>
      <c r="C43" s="615"/>
      <c r="D43" s="615"/>
      <c r="E43" s="615"/>
      <c r="F43" s="615"/>
      <c r="G43" s="615"/>
      <c r="H43" s="615"/>
    </row>
    <row r="44" spans="1:16" x14ac:dyDescent="0.2">
      <c r="A44" s="666"/>
      <c r="B44" s="667"/>
      <c r="C44" s="668"/>
      <c r="D44" s="669"/>
      <c r="E44" s="618"/>
      <c r="F44" s="619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70"/>
      <c r="C46" s="670"/>
      <c r="D46" s="667"/>
      <c r="E46" s="668"/>
      <c r="F46" s="669"/>
      <c r="G46" s="618"/>
      <c r="H46" s="619"/>
      <c r="I46" s="608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20"/>
      <c r="J48" s="889"/>
    </row>
    <row r="49" spans="1:9" x14ac:dyDescent="0.2">
      <c r="A49" s="666"/>
      <c r="B49" s="670"/>
      <c r="C49" s="670"/>
      <c r="D49" s="667"/>
      <c r="E49" s="668"/>
      <c r="F49" s="669"/>
      <c r="G49" s="618"/>
      <c r="H49" s="619"/>
      <c r="I49" s="620"/>
    </row>
    <row r="50" spans="1:9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9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9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9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9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9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9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9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9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9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9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9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9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9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9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21"/>
      <c r="B74" s="622"/>
      <c r="C74" s="622"/>
      <c r="D74" s="623"/>
      <c r="E74" s="620"/>
      <c r="F74" s="624"/>
      <c r="G74" s="618"/>
      <c r="H74" s="619"/>
      <c r="I74" s="620"/>
    </row>
    <row r="75" spans="1:9" x14ac:dyDescent="0.2">
      <c r="A75" s="621"/>
      <c r="B75" s="625"/>
      <c r="C75" s="625"/>
      <c r="D75" s="623"/>
      <c r="E75" s="620"/>
      <c r="F75" s="624"/>
      <c r="G75" s="618"/>
      <c r="H75" s="619"/>
      <c r="I75" s="620"/>
    </row>
    <row r="76" spans="1:9" x14ac:dyDescent="0.2">
      <c r="A76" s="621"/>
      <c r="B76" s="626"/>
      <c r="C76" s="626"/>
      <c r="D76" s="623"/>
      <c r="E76" s="672"/>
      <c r="F76" s="673"/>
      <c r="G76" s="674"/>
      <c r="H76" s="674"/>
      <c r="I76" s="674"/>
    </row>
    <row r="77" spans="1:9" x14ac:dyDescent="0.2">
      <c r="A77" s="621"/>
      <c r="B77" s="627"/>
      <c r="C77" s="627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8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D80" s="629"/>
      <c r="E80" s="627"/>
      <c r="F80" s="630"/>
      <c r="G80" s="631"/>
      <c r="H80" s="630"/>
      <c r="I80" s="632"/>
    </row>
    <row r="81" spans="1:9" x14ac:dyDescent="0.2">
      <c r="A81" s="621"/>
      <c r="D81" s="629"/>
      <c r="E81" s="631"/>
      <c r="F81" s="630"/>
      <c r="G81" s="631"/>
      <c r="H81" s="630"/>
      <c r="I81" s="632"/>
    </row>
    <row r="82" spans="1:9" x14ac:dyDescent="0.2">
      <c r="A82" s="621"/>
      <c r="B82" s="627"/>
      <c r="C82" s="627"/>
      <c r="E82" s="633"/>
      <c r="F82" s="634"/>
      <c r="G82" s="633"/>
      <c r="H82" s="634"/>
      <c r="I82" s="620"/>
    </row>
    <row r="83" spans="1:9" x14ac:dyDescent="0.2">
      <c r="A83" s="621"/>
      <c r="E83" s="635"/>
      <c r="F83" s="636"/>
      <c r="G83" s="633"/>
      <c r="H83" s="636"/>
      <c r="I83" s="620"/>
    </row>
    <row r="84" spans="1:9" x14ac:dyDescent="0.2">
      <c r="A84" s="621"/>
      <c r="B84" s="627"/>
      <c r="C84" s="627"/>
      <c r="D84" s="629"/>
      <c r="E84" s="631"/>
      <c r="F84" s="630"/>
      <c r="G84" s="631"/>
      <c r="H84" s="630"/>
      <c r="I84" s="632"/>
    </row>
    <row r="85" spans="1:9" x14ac:dyDescent="0.2">
      <c r="F85" s="675"/>
      <c r="G85" s="676"/>
    </row>
    <row r="86" spans="1:9" x14ac:dyDescent="0.2">
      <c r="F86" s="675"/>
      <c r="G86" s="676"/>
    </row>
    <row r="87" spans="1:9" x14ac:dyDescent="0.2">
      <c r="D87" s="629"/>
      <c r="E87" s="627"/>
      <c r="F87" s="637"/>
      <c r="G87" s="627"/>
      <c r="H87" s="627"/>
      <c r="I87" s="627"/>
    </row>
    <row r="88" spans="1:9" x14ac:dyDescent="0.2">
      <c r="D88" s="629"/>
      <c r="E88" s="627"/>
      <c r="F88" s="677"/>
      <c r="G88" s="627"/>
      <c r="H88" s="627"/>
      <c r="I88" s="627"/>
    </row>
    <row r="89" spans="1:9" x14ac:dyDescent="0.2">
      <c r="D89" s="629"/>
      <c r="E89" s="627"/>
      <c r="F89" s="63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</sheetData>
  <mergeCells count="34"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H8:I8"/>
    <mergeCell ref="J8:K8"/>
    <mergeCell ref="B10:C10"/>
    <mergeCell ref="B11:C11"/>
    <mergeCell ref="B12:C12"/>
    <mergeCell ref="B13:C13"/>
    <mergeCell ref="G1:I3"/>
    <mergeCell ref="C4:I4"/>
    <mergeCell ref="C5:I5"/>
    <mergeCell ref="B6:I6"/>
    <mergeCell ref="G7:I7"/>
    <mergeCell ref="A8:A9"/>
    <mergeCell ref="B8:C9"/>
    <mergeCell ref="D8:D9"/>
    <mergeCell ref="E8:E9"/>
    <mergeCell ref="F8:G8"/>
  </mergeCells>
  <printOptions horizontalCentered="1"/>
  <pageMargins left="0.78700000000000003" right="0.78700000000000003" top="1.181" bottom="0.09" header="0.314" footer="0.31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7"/>
  <sheetViews>
    <sheetView zoomScale="93" zoomScaleNormal="93" workbookViewId="0">
      <pane xSplit="7" ySplit="8" topLeftCell="H15" activePane="bottomRight" state="frozen"/>
      <selection pane="topRight" activeCell="H1" sqref="H1"/>
      <selection pane="bottomLeft" activeCell="A9" sqref="A9"/>
      <selection pane="bottomRight" activeCell="M29" sqref="M29"/>
    </sheetView>
  </sheetViews>
  <sheetFormatPr defaultColWidth="9" defaultRowHeight="12.75" x14ac:dyDescent="0.2"/>
  <cols>
    <col min="1" max="1" width="4.375" style="1" customWidth="1"/>
    <col min="2" max="2" width="9.5" style="1" customWidth="1"/>
    <col min="3" max="3" width="22.625" style="1" customWidth="1"/>
    <col min="4" max="4" width="8.5" style="25" customWidth="1"/>
    <col min="5" max="5" width="9.5" style="1" customWidth="1"/>
    <col min="6" max="6" width="8.25" style="47" customWidth="1"/>
    <col min="7" max="7" width="13.75" style="1" customWidth="1"/>
    <col min="8" max="8" width="7" style="1" customWidth="1"/>
    <col min="9" max="9" width="12" style="1" customWidth="1"/>
    <col min="10" max="10" width="8.125" style="1" customWidth="1"/>
    <col min="11" max="11" width="11.75" style="1" customWidth="1"/>
    <col min="12" max="12" width="6.125" style="1" bestFit="1" customWidth="1"/>
    <col min="13" max="13" width="11" style="1" bestFit="1" customWidth="1"/>
    <col min="14" max="14" width="9" style="1"/>
    <col min="15" max="15" width="11" style="1" bestFit="1" customWidth="1"/>
    <col min="16" max="16" width="9" style="80"/>
    <col min="17" max="17" width="12.125" style="80" bestFit="1" customWidth="1"/>
    <col min="18" max="21" width="9" style="38"/>
    <col min="22" max="16384" width="9" style="1"/>
  </cols>
  <sheetData>
    <row r="1" spans="1:17" ht="24.75" customHeight="1" x14ac:dyDescent="0.2">
      <c r="A1" s="88"/>
      <c r="B1" s="88"/>
      <c r="C1" s="88"/>
      <c r="D1" s="753"/>
      <c r="E1" s="88"/>
      <c r="F1" s="90"/>
      <c r="G1" s="88"/>
      <c r="H1" s="211"/>
      <c r="I1" s="88"/>
      <c r="J1" s="47"/>
      <c r="K1" s="940" t="s">
        <v>176</v>
      </c>
      <c r="L1" s="940"/>
      <c r="M1" s="940"/>
      <c r="N1" s="940"/>
      <c r="O1" s="940"/>
    </row>
    <row r="2" spans="1:17" ht="14.25" customHeight="1" x14ac:dyDescent="0.2">
      <c r="K2" s="940"/>
      <c r="L2" s="940"/>
      <c r="M2" s="940"/>
      <c r="N2" s="940"/>
      <c r="O2" s="940"/>
    </row>
    <row r="3" spans="1:17" ht="14.25" customHeight="1" x14ac:dyDescent="0.2">
      <c r="B3" s="941" t="s">
        <v>177</v>
      </c>
      <c r="C3" s="941"/>
      <c r="D3" s="941"/>
      <c r="E3" s="941"/>
      <c r="F3" s="941"/>
      <c r="G3" s="941"/>
      <c r="H3" s="941"/>
      <c r="I3" s="941"/>
      <c r="J3" s="941"/>
      <c r="K3" s="941"/>
      <c r="L3" s="941"/>
      <c r="M3" s="941"/>
      <c r="N3" s="941"/>
      <c r="O3" s="941"/>
    </row>
    <row r="4" spans="1:17" ht="14.25" customHeight="1" x14ac:dyDescent="0.2">
      <c r="B4" s="941"/>
      <c r="C4" s="941"/>
      <c r="D4" s="941"/>
      <c r="E4" s="941"/>
      <c r="F4" s="941"/>
      <c r="G4" s="941"/>
      <c r="H4" s="941"/>
      <c r="I4" s="941"/>
      <c r="J4" s="941"/>
      <c r="K4" s="941"/>
      <c r="L4" s="941"/>
      <c r="M4" s="941"/>
      <c r="N4" s="941"/>
      <c r="O4" s="941"/>
    </row>
    <row r="5" spans="1:17" ht="19.5" customHeight="1" x14ac:dyDescent="0.2">
      <c r="A5" s="212" t="s">
        <v>160</v>
      </c>
      <c r="B5" s="212"/>
      <c r="C5" s="212"/>
      <c r="D5" s="213"/>
      <c r="E5" s="92"/>
      <c r="F5" s="93"/>
      <c r="G5" s="94"/>
      <c r="H5" s="94"/>
      <c r="I5" s="88"/>
      <c r="L5" s="824" t="s">
        <v>122</v>
      </c>
      <c r="M5" s="824"/>
      <c r="N5" s="824"/>
    </row>
    <row r="6" spans="1:17" ht="26.25" customHeight="1" x14ac:dyDescent="0.2">
      <c r="A6" s="942" t="s">
        <v>0</v>
      </c>
      <c r="B6" s="942" t="s">
        <v>8</v>
      </c>
      <c r="C6" s="942"/>
      <c r="D6" s="943" t="s">
        <v>20</v>
      </c>
      <c r="E6" s="944" t="s">
        <v>178</v>
      </c>
      <c r="F6" s="945" t="s">
        <v>22</v>
      </c>
      <c r="G6" s="945"/>
      <c r="H6" s="944" t="s">
        <v>179</v>
      </c>
      <c r="I6" s="944"/>
      <c r="J6" s="937" t="s">
        <v>180</v>
      </c>
      <c r="K6" s="937"/>
      <c r="L6" s="937" t="s">
        <v>145</v>
      </c>
      <c r="M6" s="937"/>
      <c r="N6" s="937" t="s">
        <v>181</v>
      </c>
      <c r="O6" s="937"/>
    </row>
    <row r="7" spans="1:17" x14ac:dyDescent="0.2">
      <c r="A7" s="942"/>
      <c r="B7" s="942"/>
      <c r="C7" s="942"/>
      <c r="D7" s="943"/>
      <c r="E7" s="944"/>
      <c r="F7" s="825" t="s">
        <v>26</v>
      </c>
      <c r="G7" s="825" t="s">
        <v>6</v>
      </c>
      <c r="H7" s="825" t="s">
        <v>26</v>
      </c>
      <c r="I7" s="825" t="s">
        <v>6</v>
      </c>
      <c r="J7" s="826" t="s">
        <v>26</v>
      </c>
      <c r="K7" s="826" t="s">
        <v>5</v>
      </c>
      <c r="L7" s="827" t="s">
        <v>26</v>
      </c>
      <c r="M7" s="827" t="s">
        <v>5</v>
      </c>
      <c r="N7" s="827" t="s">
        <v>26</v>
      </c>
      <c r="O7" s="827" t="s">
        <v>5</v>
      </c>
    </row>
    <row r="8" spans="1:17" ht="15" customHeight="1" x14ac:dyDescent="0.2">
      <c r="A8" s="828" t="s">
        <v>27</v>
      </c>
      <c r="B8" s="938" t="s">
        <v>28</v>
      </c>
      <c r="C8" s="938"/>
      <c r="D8" s="17">
        <v>1</v>
      </c>
      <c r="E8" s="829">
        <v>2</v>
      </c>
      <c r="F8" s="829">
        <v>3</v>
      </c>
      <c r="G8" s="829">
        <v>4</v>
      </c>
      <c r="H8" s="829">
        <v>9</v>
      </c>
      <c r="I8" s="829">
        <v>10</v>
      </c>
      <c r="J8" s="829">
        <v>9</v>
      </c>
      <c r="K8" s="829">
        <v>10</v>
      </c>
      <c r="L8" s="829">
        <v>15</v>
      </c>
      <c r="M8" s="829">
        <v>16</v>
      </c>
      <c r="N8" s="829">
        <v>15</v>
      </c>
      <c r="O8" s="829">
        <v>16</v>
      </c>
    </row>
    <row r="9" spans="1:17" x14ac:dyDescent="0.2">
      <c r="A9" s="58">
        <v>1</v>
      </c>
      <c r="B9" s="925" t="s">
        <v>29</v>
      </c>
      <c r="C9" s="925"/>
      <c r="D9" s="4" t="s">
        <v>30</v>
      </c>
      <c r="E9" s="6">
        <v>94250</v>
      </c>
      <c r="F9" s="6">
        <v>455.8</v>
      </c>
      <c r="G9" s="6">
        <f>$E9*F9</f>
        <v>42959150</v>
      </c>
      <c r="H9" s="6">
        <v>179</v>
      </c>
      <c r="I9" s="830">
        <f>$E9*H9</f>
        <v>16870750</v>
      </c>
      <c r="J9" s="831">
        <v>154</v>
      </c>
      <c r="K9" s="831">
        <f>E9*J9</f>
        <v>14514500</v>
      </c>
      <c r="L9" s="831">
        <v>122.80000000000001</v>
      </c>
      <c r="M9" s="831">
        <f>E9*L9</f>
        <v>11573900.000000002</v>
      </c>
      <c r="N9" s="831">
        <f>F9-H9-J9-L9</f>
        <v>0</v>
      </c>
      <c r="O9" s="831">
        <f>E9*N9</f>
        <v>0</v>
      </c>
      <c r="P9" s="879">
        <f>L9-'Тодотгол_2023_хавсралт_3_FINAl '!X9</f>
        <v>0</v>
      </c>
      <c r="Q9" s="879">
        <f>M9-'Тодотгол_2023_хавсралт_3_FINAl '!Y9</f>
        <v>0</v>
      </c>
    </row>
    <row r="10" spans="1:17" x14ac:dyDescent="0.2">
      <c r="A10" s="58">
        <v>2</v>
      </c>
      <c r="B10" s="925" t="s">
        <v>31</v>
      </c>
      <c r="C10" s="925"/>
      <c r="D10" s="4" t="s">
        <v>30</v>
      </c>
      <c r="E10" s="6">
        <v>20000</v>
      </c>
      <c r="F10" s="6">
        <v>572</v>
      </c>
      <c r="G10" s="6">
        <f>$E10*F10</f>
        <v>11440000</v>
      </c>
      <c r="H10" s="6">
        <v>160</v>
      </c>
      <c r="I10" s="830">
        <f>$E10*H10</f>
        <v>3200000</v>
      </c>
      <c r="J10" s="831">
        <v>412</v>
      </c>
      <c r="K10" s="831">
        <f>E10*J10</f>
        <v>8240000</v>
      </c>
      <c r="L10" s="831">
        <v>0</v>
      </c>
      <c r="M10" s="831">
        <f>E10*L10</f>
        <v>0</v>
      </c>
      <c r="N10" s="831">
        <f t="shared" ref="N10:N63" si="0">F10-H10-J10-L10</f>
        <v>0</v>
      </c>
      <c r="O10" s="831">
        <f>E10*N10</f>
        <v>0</v>
      </c>
      <c r="P10" s="879">
        <f>L10-'Тодотгол_2023_хавсралт_3_FINAl '!X10</f>
        <v>0</v>
      </c>
      <c r="Q10" s="879">
        <f>M10-'Тодотгол_2023_хавсралт_3_FINAl '!Y10</f>
        <v>0</v>
      </c>
    </row>
    <row r="11" spans="1:17" x14ac:dyDescent="0.2">
      <c r="A11" s="833">
        <v>3</v>
      </c>
      <c r="B11" s="939" t="s">
        <v>35</v>
      </c>
      <c r="C11" s="939"/>
      <c r="D11" s="834"/>
      <c r="E11" s="834"/>
      <c r="F11" s="834"/>
      <c r="G11" s="835">
        <f>SUM(G9:G10)</f>
        <v>54399150</v>
      </c>
      <c r="H11" s="835"/>
      <c r="I11" s="836">
        <f>SUM(I9:I10)</f>
        <v>20070750</v>
      </c>
      <c r="J11" s="837"/>
      <c r="K11" s="838">
        <f>SUM(K9:K10)</f>
        <v>22754500</v>
      </c>
      <c r="L11" s="837"/>
      <c r="M11" s="835">
        <f t="shared" ref="M11" si="1">SUM(M9:M10)</f>
        <v>11573900.000000002</v>
      </c>
      <c r="N11" s="837"/>
      <c r="O11" s="835">
        <f>SUM(O9:O10)</f>
        <v>0</v>
      </c>
      <c r="P11" s="879">
        <f>L11-'Тодотгол_2023_хавсралт_3_FINAl '!X11</f>
        <v>0</v>
      </c>
      <c r="Q11" s="879">
        <f>M11-'Тодотгол_2023_хавсралт_3_FINAl '!Y11</f>
        <v>0</v>
      </c>
    </row>
    <row r="12" spans="1:17" ht="25.5" customHeight="1" x14ac:dyDescent="0.2">
      <c r="A12" s="58">
        <v>4</v>
      </c>
      <c r="B12" s="925" t="s">
        <v>36</v>
      </c>
      <c r="C12" s="925"/>
      <c r="D12" s="4" t="s">
        <v>37</v>
      </c>
      <c r="E12" s="6">
        <v>200000</v>
      </c>
      <c r="F12" s="6">
        <v>58</v>
      </c>
      <c r="G12" s="6">
        <f>$E12*F12</f>
        <v>11600000</v>
      </c>
      <c r="H12" s="6">
        <v>10</v>
      </c>
      <c r="I12" s="830">
        <f>$E12*H12</f>
        <v>2000000</v>
      </c>
      <c r="J12" s="831">
        <v>240</v>
      </c>
      <c r="K12" s="831">
        <f>E12*J12</f>
        <v>48000000</v>
      </c>
      <c r="L12" s="831"/>
      <c r="M12" s="831">
        <f t="shared" ref="M12:M15" si="2">E12*L12</f>
        <v>0</v>
      </c>
      <c r="N12" s="831">
        <f t="shared" si="0"/>
        <v>-192</v>
      </c>
      <c r="O12" s="831">
        <f>E12*N12</f>
        <v>-38400000</v>
      </c>
      <c r="P12" s="879">
        <f>L12-'Тодотгол_2023_хавсралт_3_FINAl '!X12</f>
        <v>0</v>
      </c>
      <c r="Q12" s="879">
        <f>M12-'Тодотгол_2023_хавсралт_3_FINAl '!Y12</f>
        <v>0</v>
      </c>
    </row>
    <row r="13" spans="1:17" x14ac:dyDescent="0.2">
      <c r="A13" s="58">
        <v>5</v>
      </c>
      <c r="B13" s="925" t="s">
        <v>38</v>
      </c>
      <c r="C13" s="925"/>
      <c r="D13" s="4" t="s">
        <v>9</v>
      </c>
      <c r="E13" s="6">
        <v>240000</v>
      </c>
      <c r="F13" s="6">
        <v>1000</v>
      </c>
      <c r="G13" s="6">
        <f>$E13*F13</f>
        <v>240000000</v>
      </c>
      <c r="H13" s="6">
        <v>0</v>
      </c>
      <c r="I13" s="830">
        <f>$E13*H13</f>
        <v>0</v>
      </c>
      <c r="J13" s="831">
        <v>500</v>
      </c>
      <c r="K13" s="831">
        <f>E13*J13</f>
        <v>120000000</v>
      </c>
      <c r="L13" s="831"/>
      <c r="M13" s="831">
        <f t="shared" si="2"/>
        <v>0</v>
      </c>
      <c r="N13" s="831">
        <f t="shared" si="0"/>
        <v>500</v>
      </c>
      <c r="O13" s="831">
        <f>E13*N13</f>
        <v>120000000</v>
      </c>
      <c r="P13" s="879">
        <f>L13-'Тодотгол_2023_хавсралт_3_FINAl '!X13</f>
        <v>0</v>
      </c>
      <c r="Q13" s="879">
        <f>M13-'Тодотгол_2023_хавсралт_3_FINAl '!Y13</f>
        <v>0</v>
      </c>
    </row>
    <row r="14" spans="1:17" x14ac:dyDescent="0.2">
      <c r="A14" s="58">
        <v>6</v>
      </c>
      <c r="B14" s="925" t="s">
        <v>39</v>
      </c>
      <c r="C14" s="925"/>
      <c r="D14" s="4" t="s">
        <v>40</v>
      </c>
      <c r="E14" s="6">
        <v>35000</v>
      </c>
      <c r="F14" s="6">
        <v>738</v>
      </c>
      <c r="G14" s="6">
        <f>$E14*F14</f>
        <v>25830000</v>
      </c>
      <c r="H14" s="6">
        <v>0</v>
      </c>
      <c r="I14" s="830">
        <f>$E14*H14</f>
        <v>0</v>
      </c>
      <c r="J14" s="831">
        <v>0</v>
      </c>
      <c r="K14" s="831">
        <f>E14*J14</f>
        <v>0</v>
      </c>
      <c r="L14" s="831">
        <v>738</v>
      </c>
      <c r="M14" s="831">
        <f t="shared" si="2"/>
        <v>25830000</v>
      </c>
      <c r="N14" s="831">
        <f t="shared" si="0"/>
        <v>0</v>
      </c>
      <c r="O14" s="831">
        <f>E14*N14</f>
        <v>0</v>
      </c>
      <c r="P14" s="879">
        <f>L14-'Тодотгол_2023_хавсралт_3_FINAl '!X14</f>
        <v>0</v>
      </c>
      <c r="Q14" s="879">
        <f>M14-'Тодотгол_2023_хавсралт_3_FINAl '!Y14</f>
        <v>0</v>
      </c>
    </row>
    <row r="15" spans="1:17" x14ac:dyDescent="0.2">
      <c r="A15" s="58">
        <v>7</v>
      </c>
      <c r="B15" s="925" t="s">
        <v>41</v>
      </c>
      <c r="C15" s="925"/>
      <c r="D15" s="4" t="s">
        <v>40</v>
      </c>
      <c r="E15" s="6">
        <v>55000</v>
      </c>
      <c r="F15" s="6">
        <v>738</v>
      </c>
      <c r="G15" s="6">
        <f>$E15*F15</f>
        <v>40590000</v>
      </c>
      <c r="H15" s="6">
        <v>0</v>
      </c>
      <c r="I15" s="830">
        <f>$E15*H15</f>
        <v>0</v>
      </c>
      <c r="J15" s="831">
        <v>738</v>
      </c>
      <c r="K15" s="831">
        <f>E15*J15</f>
        <v>40590000</v>
      </c>
      <c r="L15" s="831">
        <v>251</v>
      </c>
      <c r="M15" s="831">
        <f t="shared" si="2"/>
        <v>13805000</v>
      </c>
      <c r="N15" s="831">
        <f t="shared" si="0"/>
        <v>-251</v>
      </c>
      <c r="O15" s="831">
        <f>E15*N15</f>
        <v>-13805000</v>
      </c>
      <c r="P15" s="879">
        <f>L15-'Тодотгол_2023_хавсралт_3_FINAl '!X15</f>
        <v>0</v>
      </c>
      <c r="Q15" s="879">
        <f>M15-'Тодотгол_2023_хавсралт_3_FINAl '!Y15</f>
        <v>0</v>
      </c>
    </row>
    <row r="16" spans="1:17" x14ac:dyDescent="0.2">
      <c r="A16" s="833">
        <v>8</v>
      </c>
      <c r="B16" s="926" t="s">
        <v>42</v>
      </c>
      <c r="C16" s="926"/>
      <c r="D16" s="839"/>
      <c r="E16" s="835"/>
      <c r="F16" s="835"/>
      <c r="G16" s="835">
        <f>SUM(G12:G15)</f>
        <v>318020000</v>
      </c>
      <c r="H16" s="835"/>
      <c r="I16" s="836">
        <f>SUM(I12:I15)</f>
        <v>2000000</v>
      </c>
      <c r="J16" s="837"/>
      <c r="K16" s="835">
        <f>SUM(K12:K15)</f>
        <v>208590000</v>
      </c>
      <c r="L16" s="837"/>
      <c r="M16" s="836">
        <f>SUM(M12:M15)</f>
        <v>39635000</v>
      </c>
      <c r="N16" s="837"/>
      <c r="O16" s="836">
        <f>SUM(O12:O15)</f>
        <v>67795000</v>
      </c>
      <c r="P16" s="879">
        <f>L16-'Тодотгол_2023_хавсралт_3_FINAl '!X16</f>
        <v>0</v>
      </c>
      <c r="Q16" s="879">
        <f>M16-'Тодотгол_2023_хавсралт_3_FINAl '!Y16</f>
        <v>0</v>
      </c>
    </row>
    <row r="17" spans="1:21" ht="17.25" customHeight="1" x14ac:dyDescent="0.2">
      <c r="A17" s="933">
        <v>9</v>
      </c>
      <c r="B17" s="934" t="s">
        <v>127</v>
      </c>
      <c r="C17" s="840" t="s">
        <v>65</v>
      </c>
      <c r="D17" s="4" t="s">
        <v>10</v>
      </c>
      <c r="E17" s="841">
        <v>22600</v>
      </c>
      <c r="F17" s="841">
        <v>700</v>
      </c>
      <c r="G17" s="48">
        <f t="shared" ref="G17:G27" si="3">$E17*F17</f>
        <v>15820000</v>
      </c>
      <c r="H17" s="841">
        <v>149</v>
      </c>
      <c r="I17" s="842">
        <f>$E17*H17</f>
        <v>3367400</v>
      </c>
      <c r="J17" s="831">
        <v>554</v>
      </c>
      <c r="K17" s="831">
        <f t="shared" ref="K17:K27" si="4">E17*J17</f>
        <v>12520400</v>
      </c>
      <c r="L17" s="831"/>
      <c r="M17" s="831">
        <f>E17*L17</f>
        <v>0</v>
      </c>
      <c r="N17" s="831">
        <f t="shared" si="0"/>
        <v>-3</v>
      </c>
      <c r="O17" s="831">
        <f t="shared" ref="O17:O27" si="5">E17*N17</f>
        <v>-67800</v>
      </c>
      <c r="P17" s="879">
        <f>L17-'Тодотгол_2023_хавсралт_3_FINAl '!X17</f>
        <v>0</v>
      </c>
      <c r="Q17" s="879">
        <f>M17-'Тодотгол_2023_хавсралт_3_FINAl '!Y17</f>
        <v>0</v>
      </c>
    </row>
    <row r="18" spans="1:21" x14ac:dyDescent="0.2">
      <c r="A18" s="933"/>
      <c r="B18" s="934"/>
      <c r="C18" s="840" t="s">
        <v>128</v>
      </c>
      <c r="D18" s="4" t="s">
        <v>10</v>
      </c>
      <c r="E18" s="841">
        <v>22600</v>
      </c>
      <c r="F18" s="841">
        <v>90</v>
      </c>
      <c r="G18" s="6">
        <f t="shared" si="3"/>
        <v>2034000</v>
      </c>
      <c r="H18" s="841"/>
      <c r="I18" s="842"/>
      <c r="J18" s="831">
        <v>12</v>
      </c>
      <c r="K18" s="831">
        <f t="shared" si="4"/>
        <v>271200</v>
      </c>
      <c r="L18" s="831"/>
      <c r="M18" s="831">
        <f>E18*L18</f>
        <v>0</v>
      </c>
      <c r="N18" s="831">
        <f t="shared" si="0"/>
        <v>78</v>
      </c>
      <c r="O18" s="831">
        <f t="shared" si="5"/>
        <v>1762800</v>
      </c>
      <c r="P18" s="879">
        <f>L18-'Тодотгол_2023_хавсралт_3_FINAl '!X18</f>
        <v>0</v>
      </c>
      <c r="Q18" s="879">
        <f>M18-'Тодотгол_2023_хавсралт_3_FINAl '!Y18</f>
        <v>0</v>
      </c>
    </row>
    <row r="19" spans="1:21" x14ac:dyDescent="0.2">
      <c r="A19" s="933"/>
      <c r="B19" s="934"/>
      <c r="C19" s="843" t="s">
        <v>129</v>
      </c>
      <c r="D19" s="4" t="s">
        <v>10</v>
      </c>
      <c r="E19" s="841">
        <v>22600</v>
      </c>
      <c r="F19" s="841">
        <v>120</v>
      </c>
      <c r="G19" s="6">
        <f t="shared" si="3"/>
        <v>2712000</v>
      </c>
      <c r="H19" s="841"/>
      <c r="I19" s="842"/>
      <c r="J19" s="831">
        <v>41</v>
      </c>
      <c r="K19" s="831">
        <f t="shared" si="4"/>
        <v>926600</v>
      </c>
      <c r="L19" s="831"/>
      <c r="M19" s="831">
        <v>0</v>
      </c>
      <c r="N19" s="831">
        <f t="shared" si="0"/>
        <v>79</v>
      </c>
      <c r="O19" s="831">
        <f t="shared" si="5"/>
        <v>1785400</v>
      </c>
      <c r="P19" s="879">
        <f>L19-'Тодотгол_2023_хавсралт_3_FINAl '!X19</f>
        <v>0</v>
      </c>
      <c r="Q19" s="879">
        <f>M19-'Тодотгол_2023_хавсралт_3_FINAl '!Y19</f>
        <v>0</v>
      </c>
    </row>
    <row r="20" spans="1:21" x14ac:dyDescent="0.2">
      <c r="A20" s="933"/>
      <c r="B20" s="934"/>
      <c r="C20" s="3" t="s">
        <v>130</v>
      </c>
      <c r="D20" s="4" t="s">
        <v>10</v>
      </c>
      <c r="E20" s="841">
        <v>22600</v>
      </c>
      <c r="F20" s="841">
        <v>50</v>
      </c>
      <c r="G20" s="6">
        <f t="shared" si="3"/>
        <v>1130000</v>
      </c>
      <c r="H20" s="841"/>
      <c r="I20" s="842"/>
      <c r="J20" s="831">
        <v>30</v>
      </c>
      <c r="K20" s="831">
        <f t="shared" si="4"/>
        <v>678000</v>
      </c>
      <c r="L20" s="831"/>
      <c r="M20" s="831">
        <v>0</v>
      </c>
      <c r="N20" s="831">
        <f t="shared" si="0"/>
        <v>20</v>
      </c>
      <c r="O20" s="831">
        <f t="shared" si="5"/>
        <v>452000</v>
      </c>
      <c r="P20" s="879">
        <f>L20-'Тодотгол_2023_хавсралт_3_FINAl '!X20</f>
        <v>0</v>
      </c>
      <c r="Q20" s="879">
        <f>M20-'Тодотгол_2023_хавсралт_3_FINAl '!Y20</f>
        <v>0</v>
      </c>
    </row>
    <row r="21" spans="1:21" x14ac:dyDescent="0.2">
      <c r="A21" s="58">
        <v>10</v>
      </c>
      <c r="B21" s="925" t="s">
        <v>131</v>
      </c>
      <c r="C21" s="925"/>
      <c r="D21" s="4" t="s">
        <v>44</v>
      </c>
      <c r="E21" s="6">
        <v>36500</v>
      </c>
      <c r="F21" s="6">
        <v>150</v>
      </c>
      <c r="G21" s="6">
        <f t="shared" si="3"/>
        <v>5475000</v>
      </c>
      <c r="H21" s="6">
        <v>50</v>
      </c>
      <c r="I21" s="830">
        <f>$E21*H21</f>
        <v>1825000</v>
      </c>
      <c r="J21" s="831">
        <v>100</v>
      </c>
      <c r="K21" s="831">
        <f t="shared" si="4"/>
        <v>3650000</v>
      </c>
      <c r="L21" s="831"/>
      <c r="M21" s="831">
        <v>0</v>
      </c>
      <c r="N21" s="831">
        <f t="shared" si="0"/>
        <v>0</v>
      </c>
      <c r="O21" s="831">
        <f t="shared" si="5"/>
        <v>0</v>
      </c>
      <c r="P21" s="879">
        <f>L21-'Тодотгол_2023_хавсралт_3_FINAl '!X21</f>
        <v>0</v>
      </c>
      <c r="Q21" s="879">
        <f>M21-'Тодотгол_2023_хавсралт_3_FINAl '!Y21</f>
        <v>0</v>
      </c>
    </row>
    <row r="22" spans="1:21" ht="14.25" x14ac:dyDescent="0.2">
      <c r="A22" s="58">
        <v>11</v>
      </c>
      <c r="B22" s="925" t="s">
        <v>45</v>
      </c>
      <c r="C22" s="925"/>
      <c r="D22" s="4" t="s">
        <v>44</v>
      </c>
      <c r="E22" s="6">
        <v>6000</v>
      </c>
      <c r="F22" s="6">
        <v>350</v>
      </c>
      <c r="G22">
        <f t="shared" si="3"/>
        <v>2100000</v>
      </c>
      <c r="H22" s="6">
        <v>18</v>
      </c>
      <c r="I22" s="830">
        <f>$E22*H22</f>
        <v>108000</v>
      </c>
      <c r="J22" s="831">
        <v>312</v>
      </c>
      <c r="K22" s="831">
        <f t="shared" si="4"/>
        <v>1872000</v>
      </c>
      <c r="L22" s="831"/>
      <c r="M22" s="831">
        <v>0</v>
      </c>
      <c r="N22" s="831">
        <f t="shared" si="0"/>
        <v>20</v>
      </c>
      <c r="O22" s="831">
        <f t="shared" si="5"/>
        <v>120000</v>
      </c>
      <c r="P22" s="879">
        <f>L22-'Тодотгол_2023_хавсралт_3_FINAl '!X22</f>
        <v>0</v>
      </c>
      <c r="Q22" s="879">
        <f>M22-'Тодотгол_2023_хавсралт_3_FINAl '!Y22</f>
        <v>0</v>
      </c>
    </row>
    <row r="23" spans="1:21" x14ac:dyDescent="0.2">
      <c r="A23" s="58">
        <v>12</v>
      </c>
      <c r="B23" s="925" t="s">
        <v>46</v>
      </c>
      <c r="C23" s="925"/>
      <c r="D23" s="4" t="s">
        <v>44</v>
      </c>
      <c r="E23" s="6">
        <v>20500</v>
      </c>
      <c r="F23" s="6">
        <v>40</v>
      </c>
      <c r="G23" s="6">
        <f t="shared" si="3"/>
        <v>820000</v>
      </c>
      <c r="H23" s="6">
        <v>20</v>
      </c>
      <c r="I23" s="830">
        <f>$E23*H23</f>
        <v>410000</v>
      </c>
      <c r="J23" s="831">
        <v>43</v>
      </c>
      <c r="K23" s="831">
        <f t="shared" si="4"/>
        <v>881500</v>
      </c>
      <c r="L23" s="831"/>
      <c r="M23" s="831">
        <v>0</v>
      </c>
      <c r="N23" s="831">
        <f t="shared" si="0"/>
        <v>-23</v>
      </c>
      <c r="O23" s="831">
        <f t="shared" si="5"/>
        <v>-471500</v>
      </c>
      <c r="P23" s="879">
        <f>L23-'Тодотгол_2023_хавсралт_3_FINAl '!X23</f>
        <v>0</v>
      </c>
      <c r="Q23" s="879">
        <f>M23-'Тодотгол_2023_хавсралт_3_FINAl '!Y23</f>
        <v>0</v>
      </c>
    </row>
    <row r="24" spans="1:21" ht="14.25" customHeight="1" x14ac:dyDescent="0.2">
      <c r="A24" s="933">
        <v>13</v>
      </c>
      <c r="B24" s="934" t="s">
        <v>47</v>
      </c>
      <c r="C24" s="840" t="s">
        <v>65</v>
      </c>
      <c r="D24" s="4" t="s">
        <v>44</v>
      </c>
      <c r="E24" s="841">
        <v>10000</v>
      </c>
      <c r="F24" s="841">
        <f>356-F25-F26-F27</f>
        <v>253</v>
      </c>
      <c r="G24" s="6">
        <f t="shared" si="3"/>
        <v>2530000</v>
      </c>
      <c r="H24" s="841">
        <v>0</v>
      </c>
      <c r="I24" s="842">
        <f>$E24*H24</f>
        <v>0</v>
      </c>
      <c r="J24" s="831">
        <v>20</v>
      </c>
      <c r="K24" s="831">
        <f t="shared" si="4"/>
        <v>200000</v>
      </c>
      <c r="L24" s="831"/>
      <c r="M24" s="831">
        <v>0</v>
      </c>
      <c r="N24" s="831">
        <f t="shared" si="0"/>
        <v>233</v>
      </c>
      <c r="O24" s="831">
        <f t="shared" si="5"/>
        <v>2330000</v>
      </c>
      <c r="P24" s="879">
        <f>L24-'Тодотгол_2023_хавсралт_3_FINAl '!X24</f>
        <v>0</v>
      </c>
      <c r="Q24" s="879">
        <f>M24-'Тодотгол_2023_хавсралт_3_FINAl '!Y24</f>
        <v>0</v>
      </c>
    </row>
    <row r="25" spans="1:21" x14ac:dyDescent="0.2">
      <c r="A25" s="933"/>
      <c r="B25" s="934"/>
      <c r="C25" s="3" t="s">
        <v>45</v>
      </c>
      <c r="D25" s="4" t="s">
        <v>44</v>
      </c>
      <c r="E25" s="841">
        <v>10000</v>
      </c>
      <c r="F25" s="841">
        <v>50</v>
      </c>
      <c r="G25" s="6">
        <f t="shared" si="3"/>
        <v>500000</v>
      </c>
      <c r="H25" s="841">
        <v>0</v>
      </c>
      <c r="I25" s="842">
        <f t="shared" ref="I25:I27" si="6">$E25*H25</f>
        <v>0</v>
      </c>
      <c r="J25" s="831">
        <v>50</v>
      </c>
      <c r="K25" s="831">
        <f t="shared" si="4"/>
        <v>500000</v>
      </c>
      <c r="L25" s="831"/>
      <c r="M25" s="831">
        <v>0</v>
      </c>
      <c r="N25" s="831">
        <f t="shared" si="0"/>
        <v>0</v>
      </c>
      <c r="O25" s="831">
        <f t="shared" si="5"/>
        <v>0</v>
      </c>
      <c r="P25" s="879">
        <f>L25-'Тодотгол_2023_хавсралт_3_FINAl '!X25</f>
        <v>0</v>
      </c>
      <c r="Q25" s="879">
        <f>M25-'Тодотгол_2023_хавсралт_3_FINAl '!Y25</f>
        <v>0</v>
      </c>
    </row>
    <row r="26" spans="1:21" x14ac:dyDescent="0.2">
      <c r="A26" s="933"/>
      <c r="B26" s="934"/>
      <c r="C26" s="3" t="s">
        <v>46</v>
      </c>
      <c r="D26" s="4" t="s">
        <v>44</v>
      </c>
      <c r="E26" s="841">
        <v>10000</v>
      </c>
      <c r="F26" s="841">
        <v>3</v>
      </c>
      <c r="G26" s="6">
        <f t="shared" si="3"/>
        <v>30000</v>
      </c>
      <c r="H26" s="841">
        <v>0</v>
      </c>
      <c r="I26" s="842">
        <f t="shared" si="6"/>
        <v>0</v>
      </c>
      <c r="J26" s="831">
        <v>3</v>
      </c>
      <c r="K26" s="831">
        <f t="shared" si="4"/>
        <v>30000</v>
      </c>
      <c r="L26" s="831"/>
      <c r="M26" s="831">
        <v>0</v>
      </c>
      <c r="N26" s="831">
        <f t="shared" si="0"/>
        <v>0</v>
      </c>
      <c r="O26" s="831">
        <f t="shared" si="5"/>
        <v>0</v>
      </c>
      <c r="P26" s="879">
        <f>L26-'Тодотгол_2023_хавсралт_3_FINAl '!X26</f>
        <v>0</v>
      </c>
      <c r="Q26" s="879">
        <f>M26-'Тодотгол_2023_хавсралт_3_FINAl '!Y26</f>
        <v>0</v>
      </c>
    </row>
    <row r="27" spans="1:21" ht="13.5" customHeight="1" x14ac:dyDescent="0.2">
      <c r="A27" s="933"/>
      <c r="B27" s="934"/>
      <c r="C27" s="3" t="s">
        <v>132</v>
      </c>
      <c r="D27" s="4" t="s">
        <v>44</v>
      </c>
      <c r="E27" s="841">
        <v>10000</v>
      </c>
      <c r="F27" s="841">
        <v>50</v>
      </c>
      <c r="G27" s="6">
        <f t="shared" si="3"/>
        <v>500000</v>
      </c>
      <c r="H27" s="841">
        <v>0</v>
      </c>
      <c r="I27" s="842">
        <f t="shared" si="6"/>
        <v>0</v>
      </c>
      <c r="J27" s="831">
        <v>50</v>
      </c>
      <c r="K27" s="831">
        <f t="shared" si="4"/>
        <v>500000</v>
      </c>
      <c r="L27" s="831"/>
      <c r="M27" s="831">
        <v>0</v>
      </c>
      <c r="N27" s="831">
        <f t="shared" si="0"/>
        <v>0</v>
      </c>
      <c r="O27" s="831">
        <f t="shared" si="5"/>
        <v>0</v>
      </c>
      <c r="P27" s="879">
        <f>L27-'Тодотгол_2023_хавсралт_3_FINAl '!X27</f>
        <v>0</v>
      </c>
      <c r="Q27" s="879">
        <f>M27-'Тодотгол_2023_хавсралт_3_FINAl '!Y27</f>
        <v>0</v>
      </c>
    </row>
    <row r="28" spans="1:21" x14ac:dyDescent="0.2">
      <c r="A28" s="833">
        <v>14</v>
      </c>
      <c r="B28" s="926" t="s">
        <v>48</v>
      </c>
      <c r="C28" s="926"/>
      <c r="D28" s="839"/>
      <c r="E28" s="844"/>
      <c r="F28" s="844"/>
      <c r="G28" s="835">
        <f>SUM(G17:G27)</f>
        <v>33651000</v>
      </c>
      <c r="H28" s="835"/>
      <c r="I28" s="836">
        <f>SUM(I17:I26)</f>
        <v>5710400</v>
      </c>
      <c r="J28" s="837"/>
      <c r="K28" s="838">
        <f>SUM(K17:K27)</f>
        <v>22029700</v>
      </c>
      <c r="L28" s="837"/>
      <c r="M28" s="836">
        <f>SUM(M17:M27)</f>
        <v>0</v>
      </c>
      <c r="N28" s="837"/>
      <c r="O28" s="836">
        <f>SUM(O17:O27)</f>
        <v>5910900</v>
      </c>
      <c r="P28" s="879">
        <f>L28-'Тодотгол_2023_хавсралт_3_FINAl '!X28</f>
        <v>0</v>
      </c>
      <c r="Q28" s="879">
        <f>M28-'Тодотгол_2023_хавсралт_3_FINAl '!Y28</f>
        <v>0</v>
      </c>
    </row>
    <row r="29" spans="1:21" s="8" customFormat="1" x14ac:dyDescent="0.2">
      <c r="A29" s="833">
        <v>15</v>
      </c>
      <c r="B29" s="935" t="s">
        <v>49</v>
      </c>
      <c r="C29" s="935"/>
      <c r="D29" s="845"/>
      <c r="E29" s="846"/>
      <c r="F29" s="846"/>
      <c r="G29" s="846">
        <f>G16+G28</f>
        <v>351671000</v>
      </c>
      <c r="H29" s="835"/>
      <c r="I29" s="846">
        <f>I16+I28</f>
        <v>7710400</v>
      </c>
      <c r="J29" s="837"/>
      <c r="K29" s="847">
        <f>K16+K28</f>
        <v>230619700</v>
      </c>
      <c r="L29" s="837"/>
      <c r="M29" s="846">
        <f>M16+M28</f>
        <v>39635000</v>
      </c>
      <c r="N29" s="837"/>
      <c r="O29" s="846">
        <f>O16+O28</f>
        <v>73705900</v>
      </c>
      <c r="P29" s="879">
        <f>L29-'Тодотгол_2023_хавсралт_3_FINAl '!X29</f>
        <v>0</v>
      </c>
      <c r="Q29" s="879">
        <f>M29-'Тодотгол_2023_хавсралт_3_FINAl '!Y29</f>
        <v>0</v>
      </c>
      <c r="R29" s="878"/>
      <c r="S29" s="878"/>
      <c r="T29" s="878"/>
      <c r="U29" s="878"/>
    </row>
    <row r="30" spans="1:21" x14ac:dyDescent="0.2">
      <c r="A30" s="58">
        <v>16</v>
      </c>
      <c r="B30" s="925" t="s">
        <v>64</v>
      </c>
      <c r="C30" s="925"/>
      <c r="D30" s="4" t="s">
        <v>10</v>
      </c>
      <c r="E30" s="6">
        <v>20000</v>
      </c>
      <c r="F30" s="6">
        <v>700</v>
      </c>
      <c r="G30" s="6">
        <f t="shared" ref="G30:G37" si="7">$E30*F30</f>
        <v>14000000</v>
      </c>
      <c r="H30" s="6">
        <v>145</v>
      </c>
      <c r="I30" s="830">
        <f t="shared" ref="I30:I37" si="8">$E30*H30</f>
        <v>2900000</v>
      </c>
      <c r="J30" s="831">
        <v>575</v>
      </c>
      <c r="K30" s="831">
        <f t="shared" ref="K30:K63" si="9">E30*J30</f>
        <v>11500000</v>
      </c>
      <c r="L30" s="831"/>
      <c r="M30" s="831">
        <f t="shared" ref="M30:M37" si="10">E30*L30</f>
        <v>0</v>
      </c>
      <c r="N30" s="831">
        <f t="shared" si="0"/>
        <v>-20</v>
      </c>
      <c r="O30" s="831">
        <f t="shared" ref="O30:O37" si="11">E30*N30</f>
        <v>-400000</v>
      </c>
      <c r="P30" s="879">
        <f>L30-'Тодотгол_2023_хавсралт_3_FINAl '!X30</f>
        <v>0</v>
      </c>
      <c r="Q30" s="879">
        <f>M30-'Тодотгол_2023_хавсралт_3_FINAl '!Y30</f>
        <v>0</v>
      </c>
    </row>
    <row r="31" spans="1:21" x14ac:dyDescent="0.2">
      <c r="A31" s="58">
        <v>17</v>
      </c>
      <c r="B31" s="925" t="s">
        <v>65</v>
      </c>
      <c r="C31" s="925"/>
      <c r="D31" s="4"/>
      <c r="E31" s="6">
        <v>35000</v>
      </c>
      <c r="F31" s="6">
        <v>700</v>
      </c>
      <c r="G31" s="6">
        <f t="shared" si="7"/>
        <v>24500000</v>
      </c>
      <c r="H31" s="6">
        <v>145</v>
      </c>
      <c r="I31" s="830">
        <f t="shared" si="8"/>
        <v>5075000</v>
      </c>
      <c r="J31" s="831">
        <v>575</v>
      </c>
      <c r="K31" s="831">
        <f t="shared" si="9"/>
        <v>20125000</v>
      </c>
      <c r="L31" s="831"/>
      <c r="M31" s="831">
        <f t="shared" si="10"/>
        <v>0</v>
      </c>
      <c r="N31" s="831">
        <f t="shared" si="0"/>
        <v>-20</v>
      </c>
      <c r="O31" s="831">
        <f t="shared" si="11"/>
        <v>-700000</v>
      </c>
      <c r="P31" s="879">
        <f>L31-'Тодотгол_2023_хавсралт_3_FINAl '!X31</f>
        <v>0</v>
      </c>
      <c r="Q31" s="879">
        <f>M31-'Тодотгол_2023_хавсралт_3_FINAl '!Y31</f>
        <v>0</v>
      </c>
    </row>
    <row r="32" spans="1:21" x14ac:dyDescent="0.2">
      <c r="A32" s="58">
        <v>18</v>
      </c>
      <c r="B32" s="925" t="s">
        <v>66</v>
      </c>
      <c r="C32" s="925"/>
      <c r="D32" s="4" t="s">
        <v>10</v>
      </c>
      <c r="E32" s="6">
        <v>30000</v>
      </c>
      <c r="F32" s="6">
        <v>90</v>
      </c>
      <c r="G32" s="6">
        <f t="shared" si="7"/>
        <v>2700000</v>
      </c>
      <c r="H32" s="6">
        <v>0</v>
      </c>
      <c r="I32" s="830">
        <f t="shared" si="8"/>
        <v>0</v>
      </c>
      <c r="J32" s="831">
        <v>12</v>
      </c>
      <c r="K32" s="831">
        <f t="shared" si="9"/>
        <v>360000</v>
      </c>
      <c r="L32" s="831"/>
      <c r="M32" s="831">
        <f t="shared" si="10"/>
        <v>0</v>
      </c>
      <c r="N32" s="831">
        <f t="shared" si="0"/>
        <v>78</v>
      </c>
      <c r="O32" s="831">
        <f t="shared" si="11"/>
        <v>2340000</v>
      </c>
      <c r="P32" s="879">
        <f>L32-'Тодотгол_2023_хавсралт_3_FINAl '!X32</f>
        <v>0</v>
      </c>
      <c r="Q32" s="879">
        <f>M32-'Тодотгол_2023_хавсралт_3_FINAl '!Y32</f>
        <v>0</v>
      </c>
    </row>
    <row r="33" spans="1:17" x14ac:dyDescent="0.2">
      <c r="A33" s="58">
        <v>19</v>
      </c>
      <c r="B33" s="925" t="s">
        <v>67</v>
      </c>
      <c r="C33" s="925"/>
      <c r="D33" s="4" t="s">
        <v>10</v>
      </c>
      <c r="E33" s="6">
        <v>180000</v>
      </c>
      <c r="F33" s="6">
        <v>400</v>
      </c>
      <c r="G33" s="6">
        <f t="shared" si="7"/>
        <v>72000000</v>
      </c>
      <c r="H33" s="6">
        <v>26</v>
      </c>
      <c r="I33" s="830">
        <f t="shared" si="8"/>
        <v>4680000</v>
      </c>
      <c r="J33" s="831">
        <v>355</v>
      </c>
      <c r="K33" s="831">
        <f t="shared" si="9"/>
        <v>63900000</v>
      </c>
      <c r="L33" s="831"/>
      <c r="M33" s="831">
        <f t="shared" si="10"/>
        <v>0</v>
      </c>
      <c r="N33" s="831">
        <f t="shared" si="0"/>
        <v>19</v>
      </c>
      <c r="O33" s="831">
        <f t="shared" si="11"/>
        <v>3420000</v>
      </c>
      <c r="P33" s="879">
        <f>L33-'Тодотгол_2023_хавсралт_3_FINAl '!X33</f>
        <v>0</v>
      </c>
      <c r="Q33" s="879">
        <f>M33-'Тодотгол_2023_хавсралт_3_FINAl '!Y33</f>
        <v>0</v>
      </c>
    </row>
    <row r="34" spans="1:17" x14ac:dyDescent="0.2">
      <c r="A34" s="58">
        <v>20</v>
      </c>
      <c r="B34" s="925" t="s">
        <v>68</v>
      </c>
      <c r="C34" s="925"/>
      <c r="D34" s="4" t="s">
        <v>10</v>
      </c>
      <c r="E34" s="6">
        <v>160000</v>
      </c>
      <c r="F34" s="6">
        <v>120</v>
      </c>
      <c r="G34" s="6">
        <f t="shared" si="7"/>
        <v>19200000</v>
      </c>
      <c r="H34" s="6">
        <v>3</v>
      </c>
      <c r="I34" s="830">
        <f t="shared" si="8"/>
        <v>480000</v>
      </c>
      <c r="J34" s="831">
        <v>40</v>
      </c>
      <c r="K34" s="831">
        <f t="shared" si="9"/>
        <v>6400000</v>
      </c>
      <c r="L34" s="831"/>
      <c r="M34" s="831">
        <f t="shared" si="10"/>
        <v>0</v>
      </c>
      <c r="N34" s="831">
        <f t="shared" si="0"/>
        <v>77</v>
      </c>
      <c r="O34" s="831">
        <f t="shared" si="11"/>
        <v>12320000</v>
      </c>
      <c r="P34" s="879">
        <f>L34-'Тодотгол_2023_хавсралт_3_FINAl '!X34</f>
        <v>0</v>
      </c>
      <c r="Q34" s="879">
        <f>M34-'Тодотгол_2023_хавсралт_3_FINAl '!Y34</f>
        <v>0</v>
      </c>
    </row>
    <row r="35" spans="1:17" x14ac:dyDescent="0.2">
      <c r="A35" s="58">
        <v>21</v>
      </c>
      <c r="B35" s="925" t="s">
        <v>69</v>
      </c>
      <c r="C35" s="925"/>
      <c r="D35" s="4" t="s">
        <v>10</v>
      </c>
      <c r="E35" s="13">
        <v>10000</v>
      </c>
      <c r="F35" s="14">
        <v>46</v>
      </c>
      <c r="G35" s="6">
        <f t="shared" si="7"/>
        <v>460000</v>
      </c>
      <c r="H35" s="6">
        <v>20</v>
      </c>
      <c r="I35" s="830">
        <f t="shared" si="8"/>
        <v>200000</v>
      </c>
      <c r="J35" s="831">
        <v>46</v>
      </c>
      <c r="K35" s="831">
        <f t="shared" si="9"/>
        <v>460000</v>
      </c>
      <c r="L35" s="831"/>
      <c r="M35" s="831">
        <f t="shared" si="10"/>
        <v>0</v>
      </c>
      <c r="N35" s="831">
        <f t="shared" si="0"/>
        <v>-20</v>
      </c>
      <c r="O35" s="831">
        <f t="shared" si="11"/>
        <v>-200000</v>
      </c>
      <c r="P35" s="879">
        <f>L35-'Тодотгол_2023_хавсралт_3_FINAl '!X35</f>
        <v>0</v>
      </c>
      <c r="Q35" s="879">
        <f>M35-'Тодотгол_2023_хавсралт_3_FINAl '!Y35</f>
        <v>0</v>
      </c>
    </row>
    <row r="36" spans="1:17" x14ac:dyDescent="0.2">
      <c r="A36" s="58">
        <v>22</v>
      </c>
      <c r="B36" s="927" t="s">
        <v>70</v>
      </c>
      <c r="C36" s="927"/>
      <c r="D36" s="10" t="s">
        <v>10</v>
      </c>
      <c r="E36" s="6">
        <v>6500</v>
      </c>
      <c r="F36" s="6">
        <v>546</v>
      </c>
      <c r="G36" s="6">
        <f t="shared" si="7"/>
        <v>3549000</v>
      </c>
      <c r="H36" s="6">
        <v>80</v>
      </c>
      <c r="I36" s="830">
        <f t="shared" si="8"/>
        <v>520000</v>
      </c>
      <c r="J36" s="831">
        <v>201</v>
      </c>
      <c r="K36" s="831">
        <f t="shared" si="9"/>
        <v>1306500</v>
      </c>
      <c r="L36" s="831"/>
      <c r="M36" s="831">
        <f t="shared" si="10"/>
        <v>0</v>
      </c>
      <c r="N36" s="831">
        <f t="shared" si="0"/>
        <v>265</v>
      </c>
      <c r="O36" s="831">
        <f t="shared" si="11"/>
        <v>1722500</v>
      </c>
      <c r="P36" s="879">
        <f>L36-'Тодотгол_2023_хавсралт_3_FINAl '!X36</f>
        <v>0</v>
      </c>
      <c r="Q36" s="879">
        <f>M36-'Тодотгол_2023_хавсралт_3_FINAl '!Y36</f>
        <v>0</v>
      </c>
    </row>
    <row r="37" spans="1:17" x14ac:dyDescent="0.2">
      <c r="A37" s="58">
        <v>23</v>
      </c>
      <c r="B37" s="927" t="s">
        <v>71</v>
      </c>
      <c r="C37" s="927"/>
      <c r="D37" s="10" t="s">
        <v>10</v>
      </c>
      <c r="E37" s="6">
        <v>20000</v>
      </c>
      <c r="F37" s="6">
        <v>1000</v>
      </c>
      <c r="G37" s="6">
        <f t="shared" si="7"/>
        <v>20000000</v>
      </c>
      <c r="H37" s="6">
        <v>195</v>
      </c>
      <c r="I37" s="830">
        <f t="shared" si="8"/>
        <v>3900000</v>
      </c>
      <c r="J37" s="831">
        <v>805</v>
      </c>
      <c r="K37" s="831">
        <f t="shared" si="9"/>
        <v>16100000</v>
      </c>
      <c r="L37" s="831"/>
      <c r="M37" s="831">
        <f t="shared" si="10"/>
        <v>0</v>
      </c>
      <c r="N37" s="831">
        <f t="shared" si="0"/>
        <v>0</v>
      </c>
      <c r="O37" s="831">
        <f t="shared" si="11"/>
        <v>0</v>
      </c>
      <c r="P37" s="879">
        <f>L37-'Тодотгол_2023_хавсралт_3_FINAl '!X37</f>
        <v>0</v>
      </c>
      <c r="Q37" s="879">
        <f>M37-'Тодотгол_2023_хавсралт_3_FINAl '!Y37</f>
        <v>0</v>
      </c>
    </row>
    <row r="38" spans="1:17" x14ac:dyDescent="0.2">
      <c r="A38" s="848">
        <v>24</v>
      </c>
      <c r="B38" s="936" t="s">
        <v>72</v>
      </c>
      <c r="C38" s="936"/>
      <c r="D38" s="849"/>
      <c r="E38" s="850">
        <f>F38+F58</f>
        <v>1856</v>
      </c>
      <c r="F38" s="851">
        <f>SUM(F31:F35)</f>
        <v>1356</v>
      </c>
      <c r="G38" s="835">
        <f>SUM(G30:G37)</f>
        <v>156409000</v>
      </c>
      <c r="H38" s="850"/>
      <c r="I38" s="836">
        <f>SUM(I30:I37)</f>
        <v>17755000</v>
      </c>
      <c r="J38" s="837"/>
      <c r="K38" s="836">
        <f>SUM(K30:K37)</f>
        <v>120151500</v>
      </c>
      <c r="L38" s="837"/>
      <c r="M38" s="836">
        <f>SUM(M30:M37)</f>
        <v>0</v>
      </c>
      <c r="N38" s="837"/>
      <c r="O38" s="836">
        <f>SUM(O30:O37)</f>
        <v>18502500</v>
      </c>
      <c r="P38" s="879">
        <f>L38-'Тодотгол_2023_хавсралт_3_FINAl '!X38</f>
        <v>0</v>
      </c>
      <c r="Q38" s="879">
        <f>M38-'Тодотгол_2023_хавсралт_3_FINAl '!Y38</f>
        <v>0</v>
      </c>
    </row>
    <row r="39" spans="1:17" x14ac:dyDescent="0.2">
      <c r="A39" s="58">
        <v>25</v>
      </c>
      <c r="B39" s="925" t="s">
        <v>50</v>
      </c>
      <c r="C39" s="925"/>
      <c r="D39" s="4" t="s">
        <v>51</v>
      </c>
      <c r="E39" s="6">
        <v>4000</v>
      </c>
      <c r="F39" s="9">
        <f>15360000*59/100/1000</f>
        <v>9062.4</v>
      </c>
      <c r="G39" s="6">
        <f t="shared" ref="G39:G46" si="12">$E39*F39</f>
        <v>36249600</v>
      </c>
      <c r="H39" s="6">
        <v>3021</v>
      </c>
      <c r="I39" s="830">
        <f t="shared" ref="I39:I46" si="13">$E39*H39</f>
        <v>12084000</v>
      </c>
      <c r="J39" s="831">
        <v>6041.0000000033333</v>
      </c>
      <c r="K39" s="831">
        <f t="shared" si="9"/>
        <v>24164000.000013333</v>
      </c>
      <c r="L39" s="831"/>
      <c r="M39" s="831">
        <f t="shared" ref="M39:M46" si="14">E39*L39</f>
        <v>0</v>
      </c>
      <c r="N39" s="831">
        <f t="shared" si="0"/>
        <v>0.39999999666633812</v>
      </c>
      <c r="O39" s="831">
        <f t="shared" ref="O39:O46" si="15">E39*N39</f>
        <v>1599.9999866653525</v>
      </c>
      <c r="P39" s="879">
        <f>L39-'Тодотгол_2023_хавсралт_3_FINAl '!X39</f>
        <v>0</v>
      </c>
      <c r="Q39" s="879">
        <f>M39-'Тодотгол_2023_хавсралт_3_FINAl '!Y39</f>
        <v>0</v>
      </c>
    </row>
    <row r="40" spans="1:17" x14ac:dyDescent="0.2">
      <c r="A40" s="58">
        <v>26</v>
      </c>
      <c r="B40" s="925" t="s">
        <v>52</v>
      </c>
      <c r="C40" s="925"/>
      <c r="D40" s="4" t="s">
        <v>53</v>
      </c>
      <c r="E40" s="6">
        <f>92811*0.1+92811</f>
        <v>102092.1</v>
      </c>
      <c r="F40" s="6">
        <v>270</v>
      </c>
      <c r="G40" s="6">
        <f t="shared" si="12"/>
        <v>27564867</v>
      </c>
      <c r="H40" s="6">
        <v>90</v>
      </c>
      <c r="I40" s="830">
        <f t="shared" si="13"/>
        <v>9188289</v>
      </c>
      <c r="J40" s="831">
        <v>90</v>
      </c>
      <c r="K40" s="831">
        <f t="shared" si="9"/>
        <v>9188289</v>
      </c>
      <c r="L40" s="831">
        <v>90</v>
      </c>
      <c r="M40" s="831">
        <f t="shared" si="14"/>
        <v>9188289</v>
      </c>
      <c r="N40" s="831">
        <f t="shared" si="0"/>
        <v>0</v>
      </c>
      <c r="O40" s="831">
        <f t="shared" si="15"/>
        <v>0</v>
      </c>
      <c r="P40" s="879">
        <f>L40-'Тодотгол_2023_хавсралт_3_FINAl '!X40</f>
        <v>0</v>
      </c>
      <c r="Q40" s="879">
        <f>M40-'Тодотгол_2023_хавсралт_3_FINAl '!Y40</f>
        <v>0</v>
      </c>
    </row>
    <row r="41" spans="1:17" ht="38.25" customHeight="1" x14ac:dyDescent="0.2">
      <c r="A41" s="58">
        <v>27</v>
      </c>
      <c r="B41" s="929" t="s">
        <v>54</v>
      </c>
      <c r="C41" s="929"/>
      <c r="D41" s="4" t="s">
        <v>53</v>
      </c>
      <c r="E41" s="6">
        <f>92846*0.1+92846</f>
        <v>102130.6</v>
      </c>
      <c r="F41" s="6">
        <v>2101</v>
      </c>
      <c r="G41" s="6">
        <f t="shared" si="12"/>
        <v>214576390.60000002</v>
      </c>
      <c r="H41" s="6">
        <v>1200.5</v>
      </c>
      <c r="I41" s="830">
        <f t="shared" si="13"/>
        <v>122607785.30000001</v>
      </c>
      <c r="J41" s="831">
        <v>540.5</v>
      </c>
      <c r="K41" s="831">
        <f t="shared" si="9"/>
        <v>55201589.300000004</v>
      </c>
      <c r="L41" s="831">
        <v>360</v>
      </c>
      <c r="M41" s="831">
        <f t="shared" si="14"/>
        <v>36767016</v>
      </c>
      <c r="N41" s="831">
        <f t="shared" si="0"/>
        <v>0</v>
      </c>
      <c r="O41" s="831">
        <f t="shared" si="15"/>
        <v>0</v>
      </c>
      <c r="P41" s="879">
        <f>L41-'Тодотгол_2023_хавсралт_3_FINAl '!X41</f>
        <v>0</v>
      </c>
      <c r="Q41" s="879">
        <f>M41-'Тодотгол_2023_хавсралт_3_FINAl '!Y41</f>
        <v>0</v>
      </c>
    </row>
    <row r="42" spans="1:17" x14ac:dyDescent="0.2">
      <c r="A42" s="58">
        <v>28</v>
      </c>
      <c r="B42" s="929" t="s">
        <v>55</v>
      </c>
      <c r="C42" s="929"/>
      <c r="D42" s="4" t="s">
        <v>33</v>
      </c>
      <c r="E42" s="6">
        <v>4000000</v>
      </c>
      <c r="F42" s="6">
        <v>41</v>
      </c>
      <c r="G42" s="6">
        <f t="shared" si="12"/>
        <v>164000000</v>
      </c>
      <c r="H42" s="6">
        <v>10</v>
      </c>
      <c r="I42" s="830">
        <f t="shared" si="13"/>
        <v>40000000</v>
      </c>
      <c r="J42" s="831">
        <v>20</v>
      </c>
      <c r="K42" s="831">
        <f t="shared" si="9"/>
        <v>80000000</v>
      </c>
      <c r="L42" s="831">
        <v>11</v>
      </c>
      <c r="M42" s="831">
        <f t="shared" si="14"/>
        <v>44000000</v>
      </c>
      <c r="N42" s="831">
        <f t="shared" si="0"/>
        <v>0</v>
      </c>
      <c r="O42" s="831">
        <f t="shared" si="15"/>
        <v>0</v>
      </c>
      <c r="P42" s="879">
        <f>L42-'Тодотгол_2023_хавсралт_3_FINAl '!X42</f>
        <v>0</v>
      </c>
      <c r="Q42" s="879">
        <f>M42-'Тодотгол_2023_хавсралт_3_FINAl '!Y42</f>
        <v>0</v>
      </c>
    </row>
    <row r="43" spans="1:17" ht="27.75" customHeight="1" x14ac:dyDescent="0.2">
      <c r="A43" s="58">
        <v>29</v>
      </c>
      <c r="B43" s="930" t="s">
        <v>56</v>
      </c>
      <c r="C43" s="930"/>
      <c r="D43" s="4" t="s">
        <v>33</v>
      </c>
      <c r="E43" s="6">
        <v>4000000</v>
      </c>
      <c r="F43" s="6">
        <v>41</v>
      </c>
      <c r="G43" s="6">
        <f t="shared" si="12"/>
        <v>164000000</v>
      </c>
      <c r="H43" s="6">
        <v>1</v>
      </c>
      <c r="I43" s="830">
        <f t="shared" si="13"/>
        <v>4000000</v>
      </c>
      <c r="J43" s="831">
        <v>-1</v>
      </c>
      <c r="K43" s="831">
        <f t="shared" si="9"/>
        <v>-4000000</v>
      </c>
      <c r="L43" s="831">
        <v>41</v>
      </c>
      <c r="M43" s="831">
        <f t="shared" si="14"/>
        <v>164000000</v>
      </c>
      <c r="N43" s="831">
        <f t="shared" si="0"/>
        <v>0</v>
      </c>
      <c r="O43" s="831">
        <f t="shared" si="15"/>
        <v>0</v>
      </c>
      <c r="P43" s="879">
        <f>L43-'Тодотгол_2023_хавсралт_3_FINAl '!X43</f>
        <v>0</v>
      </c>
      <c r="Q43" s="879">
        <f>M43-'Тодотгол_2023_хавсралт_3_FINAl '!Y43</f>
        <v>0</v>
      </c>
    </row>
    <row r="44" spans="1:17" ht="24" customHeight="1" x14ac:dyDescent="0.2">
      <c r="A44" s="58">
        <v>30</v>
      </c>
      <c r="B44" s="929" t="s">
        <v>57</v>
      </c>
      <c r="C44" s="929"/>
      <c r="D44" s="4" t="s">
        <v>53</v>
      </c>
      <c r="E44" s="6">
        <f>92846</f>
        <v>92846</v>
      </c>
      <c r="F44" s="6">
        <v>1017</v>
      </c>
      <c r="G44" s="6">
        <f t="shared" si="12"/>
        <v>94424382</v>
      </c>
      <c r="H44" s="6">
        <v>3</v>
      </c>
      <c r="I44" s="830">
        <f t="shared" si="13"/>
        <v>278538</v>
      </c>
      <c r="J44" s="831">
        <v>-3</v>
      </c>
      <c r="K44" s="831">
        <f t="shared" si="9"/>
        <v>-278538</v>
      </c>
      <c r="L44" s="831">
        <v>1017</v>
      </c>
      <c r="M44" s="831">
        <f t="shared" si="14"/>
        <v>94424382</v>
      </c>
      <c r="N44" s="831">
        <f t="shared" si="0"/>
        <v>0</v>
      </c>
      <c r="O44" s="831">
        <f t="shared" si="15"/>
        <v>0</v>
      </c>
      <c r="P44" s="879">
        <f>L44-'Тодотгол_2023_хавсралт_3_FINAl '!X44</f>
        <v>0</v>
      </c>
      <c r="Q44" s="879">
        <f>M44-'Тодотгол_2023_хавсралт_3_FINAl '!Y44</f>
        <v>0</v>
      </c>
    </row>
    <row r="45" spans="1:17" x14ac:dyDescent="0.2">
      <c r="A45" s="58">
        <v>31</v>
      </c>
      <c r="B45" s="930" t="s">
        <v>16</v>
      </c>
      <c r="C45" s="930"/>
      <c r="D45" s="4" t="s">
        <v>58</v>
      </c>
      <c r="E45" s="6">
        <f>93160.75*0.1+93160.75</f>
        <v>102476.825</v>
      </c>
      <c r="F45" s="11">
        <v>1017.6</v>
      </c>
      <c r="G45" s="6">
        <f t="shared" si="12"/>
        <v>104280417.12</v>
      </c>
      <c r="H45" s="6">
        <v>0</v>
      </c>
      <c r="I45" s="830">
        <f t="shared" si="13"/>
        <v>0</v>
      </c>
      <c r="J45" s="831">
        <v>0</v>
      </c>
      <c r="K45" s="831">
        <f t="shared" si="9"/>
        <v>0</v>
      </c>
      <c r="L45" s="831">
        <v>1017.6</v>
      </c>
      <c r="M45" s="831">
        <f t="shared" si="14"/>
        <v>104280417.12</v>
      </c>
      <c r="N45" s="831">
        <f t="shared" si="0"/>
        <v>0</v>
      </c>
      <c r="O45" s="831">
        <f t="shared" si="15"/>
        <v>0</v>
      </c>
      <c r="P45" s="879">
        <f>L45-'Тодотгол_2023_хавсралт_3_FINAl '!X45</f>
        <v>0</v>
      </c>
      <c r="Q45" s="879">
        <f>M45-'Тодотгол_2023_хавсралт_3_FINAl '!Y45</f>
        <v>0</v>
      </c>
    </row>
    <row r="46" spans="1:17" x14ac:dyDescent="0.2">
      <c r="A46" s="58">
        <v>32</v>
      </c>
      <c r="B46" s="927" t="s">
        <v>59</v>
      </c>
      <c r="C46" s="927"/>
      <c r="D46" s="10" t="s">
        <v>60</v>
      </c>
      <c r="E46" s="6">
        <f>123810*0.1+123810</f>
        <v>136191</v>
      </c>
      <c r="F46" s="6">
        <v>164</v>
      </c>
      <c r="G46" s="6">
        <f t="shared" si="12"/>
        <v>22335324</v>
      </c>
      <c r="H46" s="6">
        <v>0</v>
      </c>
      <c r="I46" s="830">
        <f t="shared" si="13"/>
        <v>0</v>
      </c>
      <c r="J46" s="831">
        <v>0</v>
      </c>
      <c r="K46" s="831">
        <f t="shared" si="9"/>
        <v>0</v>
      </c>
      <c r="L46" s="831">
        <v>164</v>
      </c>
      <c r="M46" s="831">
        <f t="shared" si="14"/>
        <v>22335324</v>
      </c>
      <c r="N46" s="831">
        <f t="shared" si="0"/>
        <v>0</v>
      </c>
      <c r="O46" s="831">
        <f t="shared" si="15"/>
        <v>0</v>
      </c>
      <c r="P46" s="879">
        <f>L46-'Тодотгол_2023_хавсралт_3_FINAl '!X46</f>
        <v>0</v>
      </c>
      <c r="Q46" s="879">
        <f>M46-'Тодотгол_2023_хавсралт_3_FINAl '!Y46</f>
        <v>0</v>
      </c>
    </row>
    <row r="47" spans="1:17" x14ac:dyDescent="0.2">
      <c r="A47" s="848">
        <v>33</v>
      </c>
      <c r="B47" s="931" t="s">
        <v>61</v>
      </c>
      <c r="C47" s="931"/>
      <c r="D47" s="839"/>
      <c r="E47" s="835"/>
      <c r="F47" s="835"/>
      <c r="G47" s="835">
        <f>SUM(G39:G46)</f>
        <v>827430980.72000003</v>
      </c>
      <c r="H47" s="836"/>
      <c r="I47" s="836">
        <f t="shared" ref="I47:K47" si="16">SUM(I39:I46)</f>
        <v>188158612.30000001</v>
      </c>
      <c r="J47" s="837"/>
      <c r="K47" s="836">
        <f t="shared" si="16"/>
        <v>164275340.30001333</v>
      </c>
      <c r="L47" s="837"/>
      <c r="M47" s="836">
        <f t="shared" ref="M47" si="17">SUM(M39:M46)</f>
        <v>474995428.12</v>
      </c>
      <c r="N47" s="837"/>
      <c r="O47" s="836">
        <f t="shared" ref="O47" si="18">SUM(O39:O46)</f>
        <v>1599.9999866653525</v>
      </c>
      <c r="P47" s="879">
        <f>L47-'Тодотгол_2023_хавсралт_3_FINAl '!X47</f>
        <v>0</v>
      </c>
      <c r="Q47" s="879">
        <f>M47-'Тодотгол_2023_хавсралт_3_FINAl '!Y47</f>
        <v>0</v>
      </c>
    </row>
    <row r="48" spans="1:17" x14ac:dyDescent="0.2">
      <c r="A48" s="58">
        <v>34</v>
      </c>
      <c r="B48" s="927" t="s">
        <v>13</v>
      </c>
      <c r="C48" s="927"/>
      <c r="D48" s="10" t="s">
        <v>3</v>
      </c>
      <c r="E48" s="5">
        <v>1200</v>
      </c>
      <c r="F48" s="69">
        <v>3090</v>
      </c>
      <c r="G48" s="6">
        <f>$E48*F48</f>
        <v>3708000</v>
      </c>
      <c r="H48" s="6">
        <v>0</v>
      </c>
      <c r="I48" s="830">
        <f>$E48*H48</f>
        <v>0</v>
      </c>
      <c r="J48" s="831">
        <v>4365</v>
      </c>
      <c r="K48" s="831">
        <f t="shared" si="9"/>
        <v>5238000</v>
      </c>
      <c r="L48" s="831"/>
      <c r="M48" s="831">
        <f>E48*L48</f>
        <v>0</v>
      </c>
      <c r="N48" s="831">
        <f t="shared" si="0"/>
        <v>-1275</v>
      </c>
      <c r="O48" s="831">
        <f>E48*N48</f>
        <v>-1530000</v>
      </c>
      <c r="P48" s="879">
        <f>L48-'Тодотгол_2023_хавсралт_3_FINAl '!X48</f>
        <v>0</v>
      </c>
      <c r="Q48" s="879">
        <f>M48-'Тодотгол_2023_хавсралт_3_FINAl '!Y48</f>
        <v>0</v>
      </c>
    </row>
    <row r="49" spans="1:17" x14ac:dyDescent="0.2">
      <c r="A49" s="58">
        <v>35</v>
      </c>
      <c r="B49" s="927" t="s">
        <v>62</v>
      </c>
      <c r="C49" s="927"/>
      <c r="D49" s="10" t="s">
        <v>3</v>
      </c>
      <c r="E49" s="6">
        <v>1515</v>
      </c>
      <c r="F49" s="6">
        <v>52802</v>
      </c>
      <c r="G49" s="6">
        <f>$E49*F49</f>
        <v>79995030</v>
      </c>
      <c r="H49" s="6">
        <v>12998</v>
      </c>
      <c r="I49" s="830">
        <f>$E49*H49</f>
        <v>19691970</v>
      </c>
      <c r="J49" s="831">
        <v>39804</v>
      </c>
      <c r="K49" s="831">
        <f t="shared" si="9"/>
        <v>60303060</v>
      </c>
      <c r="L49" s="831"/>
      <c r="M49" s="831">
        <f>E49*L49</f>
        <v>0</v>
      </c>
      <c r="N49" s="831">
        <f t="shared" si="0"/>
        <v>0</v>
      </c>
      <c r="O49" s="831">
        <f>E49*N49</f>
        <v>0</v>
      </c>
      <c r="P49" s="879">
        <f>L49-'Тодотгол_2023_хавсралт_3_FINAl '!X49</f>
        <v>0</v>
      </c>
      <c r="Q49" s="879">
        <f>M49-'Тодотгол_2023_хавсралт_3_FINAl '!Y49</f>
        <v>0</v>
      </c>
    </row>
    <row r="50" spans="1:17" x14ac:dyDescent="0.2">
      <c r="A50" s="58">
        <v>36</v>
      </c>
      <c r="B50" s="927" t="s">
        <v>14</v>
      </c>
      <c r="C50" s="927"/>
      <c r="D50" s="10" t="s">
        <v>40</v>
      </c>
      <c r="E50" s="6">
        <v>1560</v>
      </c>
      <c r="F50" s="6">
        <v>3090</v>
      </c>
      <c r="G50" s="6">
        <f>$E50*F50</f>
        <v>4820400</v>
      </c>
      <c r="H50" s="6">
        <v>1700</v>
      </c>
      <c r="I50" s="830">
        <f>$E50*H50</f>
        <v>2652000</v>
      </c>
      <c r="J50" s="831">
        <v>39804</v>
      </c>
      <c r="K50" s="831">
        <f t="shared" si="9"/>
        <v>62094240</v>
      </c>
      <c r="L50" s="831"/>
      <c r="M50" s="831">
        <v>0</v>
      </c>
      <c r="N50" s="831">
        <f t="shared" si="0"/>
        <v>-38414</v>
      </c>
      <c r="O50" s="831">
        <f>E50*N50</f>
        <v>-59925840</v>
      </c>
      <c r="P50" s="879">
        <f>L50-'Тодотгол_2023_хавсралт_3_FINAl '!X50</f>
        <v>0</v>
      </c>
      <c r="Q50" s="879">
        <f>M50-'Тодотгол_2023_хавсралт_3_FINAl '!Y50</f>
        <v>0</v>
      </c>
    </row>
    <row r="51" spans="1:17" x14ac:dyDescent="0.2">
      <c r="A51" s="848">
        <v>37</v>
      </c>
      <c r="B51" s="932" t="s">
        <v>63</v>
      </c>
      <c r="C51" s="932"/>
      <c r="D51" s="852"/>
      <c r="E51" s="835"/>
      <c r="F51" s="835"/>
      <c r="G51" s="835">
        <f>SUM(G48:G50)</f>
        <v>88523430</v>
      </c>
      <c r="H51" s="850"/>
      <c r="I51" s="836">
        <f>SUM(I48:I50)</f>
        <v>22343970</v>
      </c>
      <c r="J51" s="837"/>
      <c r="K51" s="836">
        <f>SUM(K48:K50)</f>
        <v>127635300</v>
      </c>
      <c r="L51" s="837">
        <v>0</v>
      </c>
      <c r="M51" s="853">
        <f>SUM(M48:M50)</f>
        <v>0</v>
      </c>
      <c r="N51" s="837"/>
      <c r="O51" s="836">
        <f>SUM(O48:O50)</f>
        <v>-61455840</v>
      </c>
      <c r="P51" s="879">
        <f>L51-'Тодотгол_2023_хавсралт_3_FINAl '!X51</f>
        <v>0</v>
      </c>
      <c r="Q51" s="879">
        <f>M51-'Тодотгол_2023_хавсралт_3_FINAl '!Y51</f>
        <v>0</v>
      </c>
    </row>
    <row r="52" spans="1:17" x14ac:dyDescent="0.2">
      <c r="A52" s="58">
        <v>38</v>
      </c>
      <c r="B52" s="928" t="s">
        <v>7</v>
      </c>
      <c r="C52" s="928"/>
      <c r="D52" s="15" t="s">
        <v>58</v>
      </c>
      <c r="E52" s="6">
        <v>15000</v>
      </c>
      <c r="F52" s="6">
        <v>7440</v>
      </c>
      <c r="G52" s="6">
        <f>$E52*F52</f>
        <v>111600000</v>
      </c>
      <c r="H52" s="6">
        <v>510</v>
      </c>
      <c r="I52" s="830">
        <f>$E52*H52</f>
        <v>7650000</v>
      </c>
      <c r="J52" s="831">
        <v>6930</v>
      </c>
      <c r="K52" s="831">
        <f t="shared" si="9"/>
        <v>103950000</v>
      </c>
      <c r="L52" s="831">
        <v>0</v>
      </c>
      <c r="M52" s="831">
        <f>E52*L52</f>
        <v>0</v>
      </c>
      <c r="N52" s="831">
        <f t="shared" si="0"/>
        <v>0</v>
      </c>
      <c r="O52" s="831">
        <f>E52*N52</f>
        <v>0</v>
      </c>
      <c r="P52" s="879">
        <f>L52-'Тодотгол_2023_хавсралт_3_FINAl '!X52</f>
        <v>0</v>
      </c>
      <c r="Q52" s="879">
        <f>M52-'Тодотгол_2023_хавсралт_3_FINAl '!Y52</f>
        <v>0</v>
      </c>
    </row>
    <row r="53" spans="1:17" x14ac:dyDescent="0.2">
      <c r="A53" s="848">
        <v>39</v>
      </c>
      <c r="B53" s="924" t="s">
        <v>84</v>
      </c>
      <c r="C53" s="924"/>
      <c r="D53" s="854"/>
      <c r="E53" s="855"/>
      <c r="F53" s="850"/>
      <c r="G53" s="835">
        <f>G11+G29+G47+G51+G52+G38</f>
        <v>1590033560.72</v>
      </c>
      <c r="H53" s="850"/>
      <c r="I53" s="836">
        <f>I11+I29+I38+I47+I51+I52</f>
        <v>263688732.30000001</v>
      </c>
      <c r="J53" s="837"/>
      <c r="K53" s="836">
        <f>K11+K29+K38+K47+K51+K52</f>
        <v>769386340.3000133</v>
      </c>
      <c r="L53" s="837"/>
      <c r="M53" s="836">
        <f>M11+M29+M38+M47+M51+M52</f>
        <v>526204328.12</v>
      </c>
      <c r="N53" s="837"/>
      <c r="O53" s="836">
        <f>O11+O29+O38+O47+O51+O52</f>
        <v>30754159.999986663</v>
      </c>
      <c r="P53" s="879">
        <f>L53-'Тодотгол_2023_хавсралт_3_FINAl '!X53</f>
        <v>0</v>
      </c>
      <c r="Q53" s="879">
        <f>M53-'Тодотгол_2023_хавсралт_3_FINAl '!Y53</f>
        <v>0</v>
      </c>
    </row>
    <row r="54" spans="1:17" x14ac:dyDescent="0.2">
      <c r="A54" s="58">
        <v>40</v>
      </c>
      <c r="B54" s="925" t="s">
        <v>73</v>
      </c>
      <c r="C54" s="925"/>
      <c r="D54" s="4" t="s">
        <v>10</v>
      </c>
      <c r="E54" s="6">
        <v>80000</v>
      </c>
      <c r="F54" s="6">
        <v>100</v>
      </c>
      <c r="G54" s="6">
        <f>$E54*F54</f>
        <v>8000000</v>
      </c>
      <c r="H54" s="6">
        <v>40</v>
      </c>
      <c r="I54" s="830">
        <f>$E54*H54</f>
        <v>3200000</v>
      </c>
      <c r="J54" s="831">
        <v>185</v>
      </c>
      <c r="K54" s="831">
        <f t="shared" si="9"/>
        <v>14800000</v>
      </c>
      <c r="L54" s="831"/>
      <c r="M54" s="831">
        <f t="shared" ref="M54:M57" si="19">E54*L54</f>
        <v>0</v>
      </c>
      <c r="N54" s="831">
        <f t="shared" si="0"/>
        <v>-125</v>
      </c>
      <c r="O54" s="831">
        <f>E54*N54</f>
        <v>-10000000</v>
      </c>
      <c r="P54" s="879">
        <f>L54-'Тодотгол_2023_хавсралт_3_FINAl '!X54</f>
        <v>0</v>
      </c>
      <c r="Q54" s="879">
        <f>M54-'Тодотгол_2023_хавсралт_3_FINAl '!Y54</f>
        <v>0</v>
      </c>
    </row>
    <row r="55" spans="1:17" x14ac:dyDescent="0.2">
      <c r="A55" s="58">
        <v>41</v>
      </c>
      <c r="B55" s="925" t="s">
        <v>74</v>
      </c>
      <c r="C55" s="925"/>
      <c r="D55" s="4" t="s">
        <v>10</v>
      </c>
      <c r="E55" s="6">
        <v>36000</v>
      </c>
      <c r="F55" s="6">
        <v>200</v>
      </c>
      <c r="G55" s="6">
        <f>$E55*F55</f>
        <v>7200000</v>
      </c>
      <c r="H55" s="6">
        <v>30</v>
      </c>
      <c r="I55" s="830">
        <f>$E55*H55</f>
        <v>1080000</v>
      </c>
      <c r="J55" s="831">
        <v>0</v>
      </c>
      <c r="K55" s="831">
        <f t="shared" si="9"/>
        <v>0</v>
      </c>
      <c r="L55" s="831"/>
      <c r="M55" s="831">
        <f t="shared" si="19"/>
        <v>0</v>
      </c>
      <c r="N55" s="831">
        <f t="shared" si="0"/>
        <v>170</v>
      </c>
      <c r="O55" s="831">
        <f>E55*N55</f>
        <v>6120000</v>
      </c>
      <c r="P55" s="879">
        <f>L55-'Тодотгол_2023_хавсралт_3_FINAl '!X55</f>
        <v>0</v>
      </c>
      <c r="Q55" s="879">
        <f>M55-'Тодотгол_2023_хавсралт_3_FINAl '!Y55</f>
        <v>0</v>
      </c>
    </row>
    <row r="56" spans="1:17" x14ac:dyDescent="0.2">
      <c r="A56" s="58">
        <v>42</v>
      </c>
      <c r="B56" s="925" t="s">
        <v>75</v>
      </c>
      <c r="C56" s="925"/>
      <c r="D56" s="4" t="s">
        <v>10</v>
      </c>
      <c r="E56" s="6">
        <v>46000</v>
      </c>
      <c r="F56" s="6">
        <v>200</v>
      </c>
      <c r="G56" s="6">
        <f>$E56*F56</f>
        <v>9200000</v>
      </c>
      <c r="H56" s="6">
        <v>20</v>
      </c>
      <c r="I56" s="830">
        <f>$E56*H56</f>
        <v>920000</v>
      </c>
      <c r="J56" s="831">
        <v>155</v>
      </c>
      <c r="K56" s="831">
        <f t="shared" si="9"/>
        <v>7130000</v>
      </c>
      <c r="L56" s="831"/>
      <c r="M56" s="831">
        <f t="shared" si="19"/>
        <v>0</v>
      </c>
      <c r="N56" s="831">
        <f t="shared" si="0"/>
        <v>25</v>
      </c>
      <c r="O56" s="831">
        <f>E56*N56</f>
        <v>1150000</v>
      </c>
      <c r="P56" s="879">
        <f>L56-'Тодотгол_2023_хавсралт_3_FINAl '!X56</f>
        <v>0</v>
      </c>
      <c r="Q56" s="879">
        <f>M56-'Тодотгол_2023_хавсралт_3_FINAl '!Y56</f>
        <v>0</v>
      </c>
    </row>
    <row r="57" spans="1:17" x14ac:dyDescent="0.2">
      <c r="A57" s="58">
        <v>43</v>
      </c>
      <c r="B57" s="925" t="s">
        <v>76</v>
      </c>
      <c r="C57" s="925"/>
      <c r="D57" s="4"/>
      <c r="E57" s="6">
        <v>2000000</v>
      </c>
      <c r="F57" s="6">
        <v>46</v>
      </c>
      <c r="G57" s="6">
        <f>$E57*F57</f>
        <v>92000000</v>
      </c>
      <c r="H57" s="6">
        <v>20</v>
      </c>
      <c r="I57" s="830">
        <f>$E57*H57</f>
        <v>40000000</v>
      </c>
      <c r="J57" s="831">
        <v>46</v>
      </c>
      <c r="K57" s="831">
        <f t="shared" si="9"/>
        <v>92000000</v>
      </c>
      <c r="L57" s="831"/>
      <c r="M57" s="831">
        <f t="shared" si="19"/>
        <v>0</v>
      </c>
      <c r="N57" s="831">
        <f t="shared" si="0"/>
        <v>-20</v>
      </c>
      <c r="O57" s="831">
        <f>E57*N57</f>
        <v>-40000000</v>
      </c>
      <c r="P57" s="879">
        <f>L57-'Тодотгол_2023_хавсралт_3_FINAl '!X57</f>
        <v>0</v>
      </c>
      <c r="Q57" s="879">
        <f>M57-'Тодотгол_2023_хавсралт_3_FINAl '!Y57</f>
        <v>0</v>
      </c>
    </row>
    <row r="58" spans="1:17" x14ac:dyDescent="0.2">
      <c r="A58" s="848">
        <v>44</v>
      </c>
      <c r="B58" s="926" t="s">
        <v>77</v>
      </c>
      <c r="C58" s="926"/>
      <c r="D58" s="839"/>
      <c r="E58" s="835"/>
      <c r="F58" s="856">
        <f>SUM(F54:F56)</f>
        <v>500</v>
      </c>
      <c r="G58" s="835">
        <f>SUM(G54:G57)</f>
        <v>116400000</v>
      </c>
      <c r="H58" s="850"/>
      <c r="I58" s="836">
        <f>SUM(I54:I57)</f>
        <v>45200000</v>
      </c>
      <c r="J58" s="837"/>
      <c r="K58" s="836">
        <f>SUM(K54:K57)</f>
        <v>113930000</v>
      </c>
      <c r="L58" s="836"/>
      <c r="M58" s="836">
        <f>SUM(M54:M57)</f>
        <v>0</v>
      </c>
      <c r="N58" s="837"/>
      <c r="O58" s="836">
        <f>SUM(O54:O57)</f>
        <v>-42730000</v>
      </c>
      <c r="P58" s="879">
        <f>L58-'Тодотгол_2023_хавсралт_3_FINAl '!X58</f>
        <v>0</v>
      </c>
      <c r="Q58" s="879">
        <f>M58-'Тодотгол_2023_хавсралт_3_FINAl '!Y58</f>
        <v>0</v>
      </c>
    </row>
    <row r="59" spans="1:17" x14ac:dyDescent="0.2">
      <c r="A59" s="58">
        <v>45</v>
      </c>
      <c r="B59" s="927" t="s">
        <v>78</v>
      </c>
      <c r="C59" s="927"/>
      <c r="D59" s="10" t="s">
        <v>79</v>
      </c>
      <c r="E59" s="6">
        <v>1500000</v>
      </c>
      <c r="F59" s="6">
        <v>30</v>
      </c>
      <c r="G59" s="6">
        <f>$E59*F59</f>
        <v>45000000</v>
      </c>
      <c r="H59" s="6">
        <v>6</v>
      </c>
      <c r="I59" s="830">
        <f>$E59*H59</f>
        <v>9000000</v>
      </c>
      <c r="J59" s="831">
        <v>12</v>
      </c>
      <c r="K59" s="831">
        <f t="shared" si="9"/>
        <v>18000000</v>
      </c>
      <c r="L59" s="831">
        <v>12</v>
      </c>
      <c r="M59" s="831">
        <f>E59*L59</f>
        <v>18000000</v>
      </c>
      <c r="N59" s="831">
        <f t="shared" si="0"/>
        <v>0</v>
      </c>
      <c r="O59" s="831">
        <f>E59*N59</f>
        <v>0</v>
      </c>
      <c r="P59" s="879">
        <f>L59-'Тодотгол_2023_хавсралт_3_FINAl '!X59</f>
        <v>0</v>
      </c>
      <c r="Q59" s="879">
        <f>M59-'Тодотгол_2023_хавсралт_3_FINAl '!Y59</f>
        <v>0</v>
      </c>
    </row>
    <row r="60" spans="1:17" x14ac:dyDescent="0.2">
      <c r="A60" s="58">
        <v>46</v>
      </c>
      <c r="B60" s="928" t="s">
        <v>80</v>
      </c>
      <c r="C60" s="928"/>
      <c r="D60" s="15" t="s">
        <v>58</v>
      </c>
      <c r="E60" s="48">
        <v>50000</v>
      </c>
      <c r="F60" s="6">
        <v>150</v>
      </c>
      <c r="G60" s="6">
        <f>$E60*F60</f>
        <v>7500000</v>
      </c>
      <c r="H60" s="6">
        <v>30</v>
      </c>
      <c r="I60" s="830">
        <f>$E60*H60</f>
        <v>1500000</v>
      </c>
      <c r="J60" s="831">
        <v>120</v>
      </c>
      <c r="K60" s="831">
        <f t="shared" si="9"/>
        <v>6000000</v>
      </c>
      <c r="L60" s="831">
        <v>0</v>
      </c>
      <c r="M60" s="831">
        <f>E60*L60</f>
        <v>0</v>
      </c>
      <c r="N60" s="831">
        <f t="shared" si="0"/>
        <v>0</v>
      </c>
      <c r="O60" s="831">
        <f>E60*N60</f>
        <v>0</v>
      </c>
      <c r="P60" s="879">
        <f>L60-'Тодотгол_2023_хавсралт_3_FINAl '!X60</f>
        <v>0</v>
      </c>
      <c r="Q60" s="879">
        <f>M60-'Тодотгол_2023_хавсралт_3_FINAl '!Y60</f>
        <v>0</v>
      </c>
    </row>
    <row r="61" spans="1:17" x14ac:dyDescent="0.2">
      <c r="A61" s="58">
        <v>47</v>
      </c>
      <c r="B61" s="925" t="s">
        <v>32</v>
      </c>
      <c r="C61" s="925"/>
      <c r="D61" s="4" t="s">
        <v>33</v>
      </c>
      <c r="E61" s="48">
        <v>800000</v>
      </c>
      <c r="F61" s="6">
        <v>41</v>
      </c>
      <c r="G61" s="6">
        <f>$E61*F61</f>
        <v>32800000</v>
      </c>
      <c r="H61" s="6">
        <v>41</v>
      </c>
      <c r="I61" s="830">
        <f>$E61*H61</f>
        <v>32800000</v>
      </c>
      <c r="J61" s="831">
        <v>0</v>
      </c>
      <c r="K61" s="831">
        <f t="shared" si="9"/>
        <v>0</v>
      </c>
      <c r="L61" s="831">
        <v>0</v>
      </c>
      <c r="M61" s="831">
        <v>0</v>
      </c>
      <c r="N61" s="831">
        <f t="shared" si="0"/>
        <v>0</v>
      </c>
      <c r="O61" s="831">
        <f>E61*N61</f>
        <v>0</v>
      </c>
      <c r="P61" s="879">
        <f>L61-'Тодотгол_2023_хавсралт_3_FINAl '!X61</f>
        <v>0</v>
      </c>
      <c r="Q61" s="879">
        <f>M61-'Тодотгол_2023_хавсралт_3_FINAl '!Y61</f>
        <v>0</v>
      </c>
    </row>
    <row r="62" spans="1:17" x14ac:dyDescent="0.2">
      <c r="A62" s="58">
        <v>48</v>
      </c>
      <c r="B62" s="925" t="s">
        <v>34</v>
      </c>
      <c r="C62" s="925"/>
      <c r="D62" s="4" t="s">
        <v>33</v>
      </c>
      <c r="E62" s="48">
        <v>250000</v>
      </c>
      <c r="F62" s="6">
        <v>41</v>
      </c>
      <c r="G62" s="6">
        <f>$E62*F62</f>
        <v>10250000</v>
      </c>
      <c r="H62" s="6">
        <v>41</v>
      </c>
      <c r="I62" s="830">
        <f>$E62*H62</f>
        <v>10250000</v>
      </c>
      <c r="J62" s="831">
        <v>0</v>
      </c>
      <c r="K62" s="831">
        <f t="shared" si="9"/>
        <v>0</v>
      </c>
      <c r="L62" s="831">
        <v>0</v>
      </c>
      <c r="M62" s="831">
        <v>0</v>
      </c>
      <c r="N62" s="831">
        <f t="shared" si="0"/>
        <v>0</v>
      </c>
      <c r="O62" s="831">
        <f>E62*N62</f>
        <v>0</v>
      </c>
      <c r="P62" s="879">
        <f>L62-'Тодотгол_2023_хавсралт_3_FINAl '!X62</f>
        <v>0</v>
      </c>
      <c r="Q62" s="879">
        <f>M62-'Тодотгол_2023_хавсралт_3_FINAl '!Y62</f>
        <v>0</v>
      </c>
    </row>
    <row r="63" spans="1:17" x14ac:dyDescent="0.2">
      <c r="A63" s="58">
        <v>49</v>
      </c>
      <c r="B63" s="928" t="s">
        <v>81</v>
      </c>
      <c r="C63" s="928"/>
      <c r="D63" s="15" t="s">
        <v>82</v>
      </c>
      <c r="E63" s="48">
        <v>2000000</v>
      </c>
      <c r="F63" s="6">
        <v>3</v>
      </c>
      <c r="G63" s="6">
        <f>$E63*F63</f>
        <v>6000000</v>
      </c>
      <c r="H63" s="6">
        <v>0</v>
      </c>
      <c r="I63" s="830">
        <f>$E63*H63</f>
        <v>0</v>
      </c>
      <c r="J63" s="831">
        <v>0</v>
      </c>
      <c r="K63" s="831">
        <f t="shared" si="9"/>
        <v>0</v>
      </c>
      <c r="L63" s="831"/>
      <c r="M63" s="831">
        <v>0</v>
      </c>
      <c r="N63" s="831">
        <f t="shared" si="0"/>
        <v>3</v>
      </c>
      <c r="O63" s="831">
        <f>E63*N63</f>
        <v>6000000</v>
      </c>
      <c r="P63" s="879">
        <f>L63-'Тодотгол_2023_хавсралт_3_FINAl '!X63</f>
        <v>0</v>
      </c>
      <c r="Q63" s="879">
        <f>M63-'Тодотгол_2023_хавсралт_3_FINAl '!Y63</f>
        <v>0</v>
      </c>
    </row>
    <row r="64" spans="1:17" ht="14.25" customHeight="1" x14ac:dyDescent="0.2">
      <c r="A64" s="848">
        <v>50</v>
      </c>
      <c r="B64" s="924" t="s">
        <v>83</v>
      </c>
      <c r="C64" s="924"/>
      <c r="D64" s="854"/>
      <c r="E64" s="857"/>
      <c r="F64" s="850"/>
      <c r="G64" s="835">
        <f>SUM(G59:G63)</f>
        <v>101550000</v>
      </c>
      <c r="H64" s="850"/>
      <c r="I64" s="836">
        <f>SUM(I59:I63)</f>
        <v>53550000</v>
      </c>
      <c r="J64" s="838"/>
      <c r="K64" s="836">
        <f>SUM(K59:K63)</f>
        <v>24000000</v>
      </c>
      <c r="L64" s="837"/>
      <c r="M64" s="836">
        <f>SUM(M59:M63)</f>
        <v>18000000</v>
      </c>
      <c r="N64" s="837"/>
      <c r="O64" s="836">
        <f>SUM(O59:O63)</f>
        <v>6000000</v>
      </c>
      <c r="P64" s="879">
        <f>L64-'Тодотгол_2023_хавсралт_3_FINAl '!X64</f>
        <v>0</v>
      </c>
      <c r="Q64" s="879">
        <f>M64-'Тодотгол_2023_хавсралт_3_FINAl '!Y64</f>
        <v>0</v>
      </c>
    </row>
    <row r="65" spans="1:21" x14ac:dyDescent="0.2">
      <c r="A65" s="848">
        <v>51</v>
      </c>
      <c r="B65" s="921" t="s">
        <v>182</v>
      </c>
      <c r="C65" s="921"/>
      <c r="D65" s="858"/>
      <c r="E65" s="859"/>
      <c r="F65" s="850"/>
      <c r="G65" s="835">
        <f>G58+G64</f>
        <v>217950000</v>
      </c>
      <c r="H65" s="850"/>
      <c r="I65" s="836">
        <f>I58+I64</f>
        <v>98750000</v>
      </c>
      <c r="J65" s="838"/>
      <c r="K65" s="836">
        <f>K58+K64</f>
        <v>137930000</v>
      </c>
      <c r="L65" s="837"/>
      <c r="M65" s="836">
        <f>M58+M64</f>
        <v>18000000</v>
      </c>
      <c r="N65" s="837"/>
      <c r="O65" s="836">
        <f>O58+O64</f>
        <v>-36730000</v>
      </c>
      <c r="P65" s="879">
        <f>L65-'Тодотгол_2023_хавсралт_3_FINAl '!X65</f>
        <v>0</v>
      </c>
      <c r="Q65" s="879">
        <f>M65-'Тодотгол_2023_хавсралт_3_FINAl '!Y65</f>
        <v>0</v>
      </c>
    </row>
    <row r="66" spans="1:21" x14ac:dyDescent="0.2">
      <c r="A66" s="848">
        <v>52</v>
      </c>
      <c r="B66" s="922" t="s">
        <v>86</v>
      </c>
      <c r="C66" s="922"/>
      <c r="D66" s="860"/>
      <c r="E66" s="861"/>
      <c r="F66" s="862"/>
      <c r="G66" s="835">
        <f>G53+G65</f>
        <v>1807983560.72</v>
      </c>
      <c r="H66" s="850"/>
      <c r="I66" s="863">
        <f>I53+I65</f>
        <v>362438732.30000001</v>
      </c>
      <c r="J66" s="838"/>
      <c r="K66" s="863">
        <f>K53+K65</f>
        <v>907316340.3000133</v>
      </c>
      <c r="L66" s="837"/>
      <c r="M66" s="863">
        <f>M53+M65</f>
        <v>544204328.12</v>
      </c>
      <c r="N66" s="837"/>
      <c r="O66" s="863">
        <f>O53+O65</f>
        <v>-5975840.0000133365</v>
      </c>
      <c r="P66" s="879">
        <f>L66-'Тодотгол_2023_хавсралт_3_FINAl '!X66</f>
        <v>0</v>
      </c>
      <c r="Q66" s="879">
        <f>M66-'Тодотгол_2023_хавсралт_3_FINAl '!Y66</f>
        <v>0</v>
      </c>
    </row>
    <row r="67" spans="1:21" ht="13.5" x14ac:dyDescent="0.25">
      <c r="A67" s="848">
        <v>53</v>
      </c>
      <c r="B67" s="922" t="s">
        <v>15</v>
      </c>
      <c r="C67" s="922"/>
      <c r="D67" s="864" t="s">
        <v>2</v>
      </c>
      <c r="E67" s="865" t="s">
        <v>2</v>
      </c>
      <c r="F67" s="850">
        <v>10</v>
      </c>
      <c r="G67" s="835">
        <f>G66*0.1</f>
        <v>180798356.07200003</v>
      </c>
      <c r="H67" s="850"/>
      <c r="I67" s="836">
        <f>I66*0.1</f>
        <v>36243873.230000004</v>
      </c>
      <c r="J67" s="838"/>
      <c r="K67" s="836">
        <f>K66*0.1</f>
        <v>90731634.030001342</v>
      </c>
      <c r="L67" s="837"/>
      <c r="M67" s="836">
        <f>M66*0.1</f>
        <v>54420432.812000006</v>
      </c>
      <c r="N67" s="837"/>
      <c r="O67" s="836">
        <f>O66*0.1</f>
        <v>-597584.00000133365</v>
      </c>
      <c r="P67" s="879">
        <f>L67-'Тодотгол_2023_хавсралт_3_FINAl '!X67</f>
        <v>0</v>
      </c>
      <c r="Q67" s="879">
        <f>M67-'Тодотгол_2023_хавсралт_3_FINAl '!Y67</f>
        <v>0</v>
      </c>
    </row>
    <row r="68" spans="1:21" x14ac:dyDescent="0.2">
      <c r="A68" s="848">
        <v>54</v>
      </c>
      <c r="B68" s="923" t="s">
        <v>4</v>
      </c>
      <c r="C68" s="923"/>
      <c r="D68" s="854" t="s">
        <v>2</v>
      </c>
      <c r="E68" s="866">
        <v>0.05</v>
      </c>
      <c r="F68" s="850"/>
      <c r="G68" s="835">
        <v>9039918</v>
      </c>
      <c r="H68" s="850"/>
      <c r="I68" s="867"/>
      <c r="J68" s="838"/>
      <c r="K68" s="867"/>
      <c r="L68" s="837"/>
      <c r="M68" s="844">
        <v>2466494</v>
      </c>
      <c r="N68" s="837"/>
      <c r="O68" s="844">
        <f>G68-M68</f>
        <v>6573424</v>
      </c>
      <c r="P68" s="879">
        <f>L68-'Тодотгол_2023_хавсралт_3_FINAl '!X68</f>
        <v>0</v>
      </c>
      <c r="Q68" s="879">
        <f>M68-'Тодотгол_2023_хавсралт_3_FINAl '!Y68</f>
        <v>0</v>
      </c>
    </row>
    <row r="69" spans="1:21" ht="15" customHeight="1" x14ac:dyDescent="0.2">
      <c r="A69" s="848">
        <v>55</v>
      </c>
      <c r="B69" s="922" t="s">
        <v>87</v>
      </c>
      <c r="C69" s="922"/>
      <c r="D69" s="860"/>
      <c r="E69" s="861"/>
      <c r="F69" s="862"/>
      <c r="G69" s="835">
        <f>G66+G67+G68</f>
        <v>1997821834.7920001</v>
      </c>
      <c r="H69" s="850"/>
      <c r="I69" s="835">
        <f>I66+I67+I68</f>
        <v>398682605.53000003</v>
      </c>
      <c r="J69" s="838"/>
      <c r="K69" s="835">
        <f>K66+K67+K68</f>
        <v>998047974.33001471</v>
      </c>
      <c r="L69" s="837"/>
      <c r="M69" s="835">
        <f>M66+M67+M68</f>
        <v>601091254.93200004</v>
      </c>
      <c r="N69" s="837"/>
      <c r="O69" s="868">
        <f>O66+O67+O68</f>
        <v>-1.4670193195343018E-5</v>
      </c>
      <c r="P69" s="879">
        <f>L69-'Тодотгол_2023_хавсралт_3_FINAl '!X69</f>
        <v>0</v>
      </c>
      <c r="Q69" s="879">
        <f>M69-'Тодотгол_2023_хавсралт_3_FINAl '!Y69</f>
        <v>0</v>
      </c>
    </row>
    <row r="70" spans="1:21" s="80" customFormat="1" ht="21.75" customHeight="1" x14ac:dyDescent="0.2">
      <c r="A70" s="308" t="s">
        <v>134</v>
      </c>
      <c r="B70" s="316"/>
      <c r="C70" s="316"/>
      <c r="D70" s="869"/>
      <c r="E70" s="870"/>
      <c r="F70" s="871"/>
      <c r="G70" s="872"/>
      <c r="H70" s="872"/>
      <c r="I70" s="872"/>
      <c r="J70" s="873"/>
      <c r="K70" s="872"/>
      <c r="L70" s="874"/>
      <c r="M70" s="875"/>
      <c r="N70" s="874"/>
      <c r="O70" s="876"/>
      <c r="P70" s="879">
        <f>L70-'Тодотгол_2023_хавсралт_3_FINAl '!X70</f>
        <v>0</v>
      </c>
      <c r="Q70" s="879">
        <f>M70-'Тодотгол_2023_хавсралт_3_FINAl '!Y70</f>
        <v>0</v>
      </c>
      <c r="R70" s="38"/>
      <c r="S70" s="38"/>
      <c r="T70" s="38"/>
      <c r="U70" s="38"/>
    </row>
    <row r="71" spans="1:21" s="80" customFormat="1" ht="14.25" x14ac:dyDescent="0.2">
      <c r="A71" s="314"/>
      <c r="B71" s="314"/>
      <c r="C71" s="742" t="s">
        <v>173</v>
      </c>
      <c r="D71" s="314"/>
      <c r="E71" s="537" t="s">
        <v>150</v>
      </c>
      <c r="G71" s="832"/>
      <c r="H71" s="312"/>
      <c r="I71" s="877"/>
      <c r="J71" s="877"/>
      <c r="K71" s="877"/>
      <c r="L71" s="877"/>
      <c r="M71" s="877"/>
      <c r="N71" s="877"/>
      <c r="O71" s="877"/>
      <c r="P71" s="879">
        <f>L71-'Тодотгол_2023_хавсралт_3_FINAl '!X71</f>
        <v>0</v>
      </c>
      <c r="Q71" s="879">
        <f>M71-'Тодотгол_2023_хавсралт_3_FINAl '!Y71</f>
        <v>0</v>
      </c>
      <c r="R71" s="38"/>
      <c r="S71" s="38"/>
      <c r="T71" s="38"/>
      <c r="U71" s="38"/>
    </row>
    <row r="72" spans="1:21" s="80" customFormat="1" ht="14.25" x14ac:dyDescent="0.2">
      <c r="A72" s="531"/>
      <c r="B72" s="315"/>
      <c r="C72" s="315"/>
      <c r="D72" s="314"/>
      <c r="E72" s="531"/>
      <c r="F72" s="531"/>
      <c r="G72" s="531"/>
      <c r="H72" s="314"/>
      <c r="I72" s="313"/>
      <c r="J72" s="315" t="s">
        <v>137</v>
      </c>
      <c r="K72" s="531"/>
      <c r="L72" s="531"/>
      <c r="M72" s="531"/>
      <c r="P72" s="879">
        <f>L72-'Тодотгол_2023_хавсралт_3_FINAl '!X72</f>
        <v>0</v>
      </c>
      <c r="Q72" s="879">
        <f>M72-'Тодотгол_2023_хавсралт_3_FINAl '!Y72</f>
        <v>0</v>
      </c>
      <c r="R72" s="38"/>
      <c r="S72" s="38"/>
      <c r="T72" s="38"/>
      <c r="U72" s="38"/>
    </row>
    <row r="73" spans="1:21" s="80" customFormat="1" ht="14.25" x14ac:dyDescent="0.2">
      <c r="A73" s="314"/>
      <c r="B73" s="314"/>
      <c r="C73" s="317" t="s">
        <v>172</v>
      </c>
      <c r="E73" s="537" t="s">
        <v>183</v>
      </c>
      <c r="H73" s="314"/>
      <c r="I73" s="314"/>
      <c r="J73" s="314"/>
      <c r="K73" s="316"/>
      <c r="L73" s="531"/>
      <c r="M73" s="531"/>
      <c r="P73" s="879">
        <f>L73-'Тодотгол_2023_хавсралт_3_FINAl '!X73</f>
        <v>0</v>
      </c>
      <c r="Q73" s="879">
        <f>M73-'Тодотгол_2023_хавсралт_3_FINAl '!Y73</f>
        <v>0</v>
      </c>
      <c r="R73" s="38"/>
      <c r="S73" s="38"/>
      <c r="T73" s="38"/>
      <c r="U73" s="38"/>
    </row>
    <row r="74" spans="1:21" s="80" customFormat="1" ht="14.25" x14ac:dyDescent="0.2">
      <c r="A74" s="314"/>
      <c r="B74" s="315"/>
      <c r="C74" s="315"/>
      <c r="D74" s="314"/>
      <c r="E74" s="531"/>
      <c r="F74" s="531"/>
      <c r="G74" s="531"/>
      <c r="H74" s="314"/>
      <c r="I74" s="531"/>
      <c r="J74" s="314" t="s">
        <v>139</v>
      </c>
      <c r="K74" s="531"/>
      <c r="L74" s="531"/>
      <c r="M74" s="531"/>
      <c r="P74" s="879">
        <f>L74-'Тодотгол_2023_хавсралт_3_FINAl '!X74</f>
        <v>0</v>
      </c>
      <c r="Q74" s="879">
        <f>M74-'Тодотгол_2023_хавсралт_3_FINAl '!Y74</f>
        <v>0</v>
      </c>
      <c r="R74" s="38"/>
      <c r="S74" s="38"/>
      <c r="T74" s="38"/>
      <c r="U74" s="38"/>
    </row>
    <row r="75" spans="1:21" s="80" customFormat="1" ht="14.25" x14ac:dyDescent="0.2">
      <c r="A75" s="314"/>
      <c r="B75" s="314"/>
      <c r="C75" s="742" t="s">
        <v>171</v>
      </c>
      <c r="E75" s="742" t="s">
        <v>152</v>
      </c>
      <c r="F75" s="314"/>
      <c r="G75" s="314"/>
      <c r="H75" s="314"/>
      <c r="I75" s="316"/>
      <c r="J75" s="314"/>
      <c r="K75" s="314"/>
      <c r="L75" s="531"/>
      <c r="M75" s="531"/>
      <c r="P75" s="879">
        <f>L75-'Тодотгол_2023_хавсралт_3_FINAl '!X75</f>
        <v>0</v>
      </c>
      <c r="Q75" s="879">
        <f>M75-'Тодотгол_2023_хавсралт_3_FINAl '!Y75</f>
        <v>0</v>
      </c>
      <c r="R75" s="38"/>
      <c r="S75" s="38"/>
      <c r="T75" s="38"/>
      <c r="U75" s="38"/>
    </row>
    <row r="76" spans="1:21" s="80" customFormat="1" ht="14.25" x14ac:dyDescent="0.2">
      <c r="A76" s="317"/>
      <c r="B76" s="319"/>
      <c r="C76" s="319"/>
      <c r="D76" s="317"/>
      <c r="E76" s="531"/>
      <c r="F76" s="531"/>
      <c r="G76" s="531"/>
      <c r="H76" s="320"/>
      <c r="I76" s="531"/>
      <c r="J76" s="315" t="s">
        <v>142</v>
      </c>
      <c r="K76" s="314"/>
      <c r="L76" s="531"/>
      <c r="M76" s="531"/>
      <c r="P76" s="879">
        <f>L76-'Тодотгол_2023_хавсралт_3_FINAl '!X76</f>
        <v>0</v>
      </c>
      <c r="Q76" s="879">
        <f>M76-'Тодотгол_2023_хавсралт_3_FINAl '!Y76</f>
        <v>0</v>
      </c>
      <c r="R76" s="38"/>
      <c r="S76" s="38"/>
      <c r="T76" s="38"/>
      <c r="U76" s="38"/>
    </row>
    <row r="77" spans="1:21" s="80" customFormat="1" ht="14.25" x14ac:dyDescent="0.2">
      <c r="A77" s="314"/>
      <c r="B77" s="314"/>
      <c r="C77" s="314"/>
      <c r="D77" s="314"/>
      <c r="E77" s="526"/>
      <c r="F77" s="526"/>
      <c r="G77" s="314"/>
      <c r="H77" s="314"/>
      <c r="I77" s="314"/>
      <c r="J77" s="531"/>
      <c r="K77" s="531"/>
      <c r="L77" s="531"/>
      <c r="M77" s="531"/>
      <c r="R77" s="38"/>
      <c r="S77" s="38"/>
      <c r="T77" s="38"/>
      <c r="U77" s="38"/>
    </row>
    <row r="78" spans="1:21" s="80" customFormat="1" ht="14.25" x14ac:dyDescent="0.2">
      <c r="B78" s="311"/>
      <c r="C78" s="311"/>
      <c r="D78" s="314"/>
      <c r="F78" s="314"/>
      <c r="G78" s="312"/>
      <c r="H78" s="312"/>
      <c r="I78" s="314"/>
      <c r="R78" s="38"/>
      <c r="S78" s="38"/>
      <c r="T78" s="38"/>
      <c r="U78" s="38"/>
    </row>
    <row r="79" spans="1:21" s="80" customFormat="1" ht="15" x14ac:dyDescent="0.25">
      <c r="A79" s="321"/>
      <c r="B79" s="321"/>
      <c r="C79" s="321"/>
      <c r="D79" s="321"/>
      <c r="E79" s="321"/>
      <c r="F79" s="321"/>
      <c r="G79" s="321"/>
      <c r="H79" s="321"/>
      <c r="I79" s="321"/>
      <c r="J79" s="314"/>
      <c r="K79" s="314"/>
      <c r="R79" s="38"/>
      <c r="S79" s="38"/>
      <c r="T79" s="38"/>
      <c r="U79" s="38"/>
    </row>
    <row r="80" spans="1:21" s="80" customFormat="1" ht="12.75" customHeight="1" x14ac:dyDescent="0.2">
      <c r="A80" s="112"/>
      <c r="B80" s="322"/>
      <c r="C80" s="322"/>
      <c r="D80" s="99"/>
      <c r="E80" s="100"/>
      <c r="F80" s="101"/>
      <c r="G80" s="113"/>
      <c r="H80" s="104"/>
      <c r="I80" s="323"/>
      <c r="J80" s="1"/>
      <c r="K80" s="1"/>
      <c r="R80" s="38"/>
      <c r="S80" s="38"/>
      <c r="T80" s="38"/>
      <c r="U80" s="38"/>
    </row>
    <row r="81" spans="1:21" s="80" customFormat="1" x14ac:dyDescent="0.2">
      <c r="A81" s="112"/>
      <c r="B81" s="322"/>
      <c r="C81" s="322"/>
      <c r="D81" s="99"/>
      <c r="E81" s="100"/>
      <c r="F81" s="101"/>
      <c r="G81" s="113"/>
      <c r="H81" s="104"/>
      <c r="I81" s="324"/>
      <c r="J81" s="1"/>
      <c r="K81" s="1"/>
      <c r="R81" s="38"/>
      <c r="S81" s="38"/>
      <c r="T81" s="38"/>
      <c r="U81" s="38"/>
    </row>
    <row r="82" spans="1:21" s="80" customFormat="1" x14ac:dyDescent="0.2">
      <c r="A82" s="74"/>
      <c r="B82" s="325"/>
      <c r="C82" s="325"/>
      <c r="D82" s="72"/>
      <c r="E82" s="20"/>
      <c r="F82" s="21"/>
      <c r="G82" s="22"/>
      <c r="H82" s="2"/>
      <c r="I82" s="324"/>
      <c r="J82" s="311"/>
      <c r="K82" s="1"/>
      <c r="R82" s="38"/>
      <c r="S82" s="38"/>
      <c r="T82" s="38"/>
      <c r="U82" s="38"/>
    </row>
    <row r="83" spans="1:21" s="80" customFormat="1" x14ac:dyDescent="0.2">
      <c r="A83" s="74"/>
      <c r="B83" s="325"/>
      <c r="C83" s="325"/>
      <c r="D83" s="72"/>
      <c r="E83" s="20"/>
      <c r="F83" s="21"/>
      <c r="G83" s="22"/>
      <c r="H83" s="2"/>
      <c r="I83" s="324"/>
      <c r="J83" s="311"/>
      <c r="K83" s="1"/>
      <c r="R83" s="38"/>
      <c r="S83" s="38"/>
      <c r="T83" s="38"/>
      <c r="U83" s="38"/>
    </row>
    <row r="84" spans="1:21" s="80" customFormat="1" x14ac:dyDescent="0.2">
      <c r="A84" s="74"/>
      <c r="B84" s="325"/>
      <c r="C84" s="325"/>
      <c r="E84" s="20"/>
      <c r="F84" s="21"/>
      <c r="G84" s="22"/>
      <c r="H84" s="2"/>
      <c r="I84" s="324"/>
      <c r="J84" s="318"/>
      <c r="K84" s="1"/>
      <c r="R84" s="38"/>
      <c r="S84" s="38"/>
      <c r="T84" s="38"/>
      <c r="U84" s="38"/>
    </row>
    <row r="85" spans="1:21" s="80" customFormat="1" x14ac:dyDescent="0.2">
      <c r="A85" s="74"/>
      <c r="B85" s="325"/>
      <c r="C85" s="325"/>
      <c r="D85" s="72"/>
      <c r="E85" s="20"/>
      <c r="F85" s="21"/>
      <c r="G85" s="22"/>
      <c r="H85" s="2"/>
      <c r="I85" s="324"/>
      <c r="J85" s="1"/>
      <c r="K85" s="1"/>
      <c r="R85" s="38"/>
      <c r="S85" s="38"/>
      <c r="T85" s="38"/>
      <c r="U85" s="38"/>
    </row>
    <row r="86" spans="1:21" s="80" customFormat="1" x14ac:dyDescent="0.2">
      <c r="A86" s="74"/>
      <c r="B86" s="325"/>
      <c r="C86" s="325"/>
      <c r="D86" s="72"/>
      <c r="E86" s="20"/>
      <c r="F86" s="21"/>
      <c r="G86" s="22"/>
      <c r="H86" s="2"/>
      <c r="I86" s="324"/>
      <c r="J86" s="1"/>
      <c r="K86" s="1"/>
      <c r="R86" s="38"/>
      <c r="S86" s="38"/>
      <c r="T86" s="38"/>
      <c r="U86" s="38"/>
    </row>
    <row r="87" spans="1:21" s="80" customFormat="1" x14ac:dyDescent="0.2">
      <c r="A87" s="74"/>
      <c r="B87" s="325"/>
      <c r="C87" s="325"/>
      <c r="D87" s="72"/>
      <c r="E87" s="20"/>
      <c r="F87" s="21"/>
      <c r="G87" s="22"/>
      <c r="H87" s="2"/>
      <c r="I87" s="324"/>
      <c r="J87" s="1"/>
      <c r="K87" s="1"/>
      <c r="R87" s="38"/>
      <c r="S87" s="38"/>
      <c r="T87" s="38"/>
      <c r="U87" s="38"/>
    </row>
    <row r="88" spans="1:21" s="80" customFormat="1" x14ac:dyDescent="0.2">
      <c r="A88" s="74"/>
      <c r="B88" s="325"/>
      <c r="C88" s="325"/>
      <c r="D88" s="72"/>
      <c r="E88" s="20"/>
      <c r="F88" s="21"/>
      <c r="G88" s="22"/>
      <c r="H88" s="2"/>
      <c r="I88" s="324"/>
      <c r="J88" s="1"/>
      <c r="K88" s="1"/>
      <c r="R88" s="38"/>
      <c r="S88" s="38"/>
      <c r="T88" s="38"/>
      <c r="U88" s="38"/>
    </row>
    <row r="89" spans="1:21" s="80" customFormat="1" x14ac:dyDescent="0.2">
      <c r="A89" s="74"/>
      <c r="B89" s="325"/>
      <c r="C89" s="325"/>
      <c r="D89" s="72"/>
      <c r="E89" s="20"/>
      <c r="F89" s="21"/>
      <c r="G89" s="22"/>
      <c r="H89" s="2"/>
      <c r="I89" s="324"/>
      <c r="J89" s="1"/>
      <c r="K89" s="1"/>
      <c r="R89" s="38"/>
      <c r="S89" s="38"/>
      <c r="T89" s="38"/>
      <c r="U89" s="38"/>
    </row>
    <row r="90" spans="1:21" s="80" customFormat="1" x14ac:dyDescent="0.2">
      <c r="A90" s="74"/>
      <c r="B90" s="325"/>
      <c r="C90" s="325"/>
      <c r="D90" s="72"/>
      <c r="E90" s="20"/>
      <c r="F90" s="21"/>
      <c r="G90" s="22"/>
      <c r="H90" s="2"/>
      <c r="I90" s="324"/>
      <c r="J90" s="1"/>
      <c r="K90" s="1"/>
      <c r="R90" s="38"/>
      <c r="S90" s="38"/>
      <c r="T90" s="38"/>
      <c r="U90" s="38"/>
    </row>
    <row r="91" spans="1:21" s="80" customFormat="1" x14ac:dyDescent="0.2">
      <c r="A91" s="74"/>
      <c r="B91" s="325"/>
      <c r="C91" s="325"/>
      <c r="D91" s="72"/>
      <c r="E91" s="20"/>
      <c r="F91" s="21"/>
      <c r="G91" s="22"/>
      <c r="H91" s="2"/>
      <c r="I91" s="324"/>
      <c r="J91" s="1"/>
      <c r="K91" s="1"/>
      <c r="R91" s="38"/>
      <c r="S91" s="38"/>
      <c r="T91" s="38"/>
      <c r="U91" s="38"/>
    </row>
    <row r="92" spans="1:21" s="80" customFormat="1" x14ac:dyDescent="0.2">
      <c r="A92" s="74"/>
      <c r="B92" s="325"/>
      <c r="C92" s="325"/>
      <c r="D92" s="72"/>
      <c r="E92" s="20"/>
      <c r="F92" s="21"/>
      <c r="G92" s="22"/>
      <c r="H92" s="2"/>
      <c r="I92" s="324"/>
      <c r="J92" s="1"/>
      <c r="K92" s="1"/>
      <c r="R92" s="38"/>
      <c r="S92" s="38"/>
      <c r="T92" s="38"/>
      <c r="U92" s="38"/>
    </row>
    <row r="93" spans="1:21" s="80" customFormat="1" x14ac:dyDescent="0.2">
      <c r="A93" s="74"/>
      <c r="B93" s="325"/>
      <c r="C93" s="325"/>
      <c r="D93" s="72"/>
      <c r="E93" s="20"/>
      <c r="F93" s="21"/>
      <c r="G93" s="22"/>
      <c r="H93" s="2"/>
      <c r="I93" s="324"/>
      <c r="J93" s="1"/>
      <c r="K93" s="1"/>
      <c r="R93" s="38"/>
      <c r="S93" s="38"/>
      <c r="T93" s="38"/>
      <c r="U93" s="38"/>
    </row>
    <row r="94" spans="1:21" s="80" customFormat="1" x14ac:dyDescent="0.2">
      <c r="A94" s="74"/>
      <c r="B94" s="325"/>
      <c r="C94" s="325"/>
      <c r="D94" s="72"/>
      <c r="E94" s="20"/>
      <c r="F94" s="21"/>
      <c r="G94" s="22"/>
      <c r="H94" s="2"/>
      <c r="I94" s="324"/>
      <c r="J94" s="1"/>
      <c r="K94" s="1"/>
      <c r="R94" s="38"/>
      <c r="S94" s="38"/>
      <c r="T94" s="38"/>
      <c r="U94" s="38"/>
    </row>
    <row r="95" spans="1:21" s="80" customFormat="1" x14ac:dyDescent="0.2">
      <c r="A95" s="74"/>
      <c r="B95" s="325"/>
      <c r="C95" s="325"/>
      <c r="D95" s="72"/>
      <c r="E95" s="20"/>
      <c r="F95" s="21"/>
      <c r="G95" s="22"/>
      <c r="H95" s="2"/>
      <c r="I95" s="324"/>
      <c r="J95" s="1"/>
      <c r="K95" s="1"/>
      <c r="R95" s="38"/>
      <c r="S95" s="38"/>
      <c r="T95" s="38"/>
      <c r="U95" s="38"/>
    </row>
    <row r="96" spans="1:21" s="80" customFormat="1" x14ac:dyDescent="0.2">
      <c r="A96" s="74"/>
      <c r="B96" s="325"/>
      <c r="C96" s="325"/>
      <c r="D96" s="72"/>
      <c r="E96" s="20"/>
      <c r="F96" s="21"/>
      <c r="G96" s="22"/>
      <c r="H96" s="2"/>
      <c r="I96" s="324"/>
      <c r="J96" s="1"/>
      <c r="K96" s="1"/>
      <c r="R96" s="38"/>
      <c r="S96" s="38"/>
      <c r="T96" s="38"/>
      <c r="U96" s="38"/>
    </row>
    <row r="97" spans="1:21" s="80" customFormat="1" x14ac:dyDescent="0.2">
      <c r="A97" s="74"/>
      <c r="B97" s="325"/>
      <c r="C97" s="325"/>
      <c r="D97" s="72"/>
      <c r="E97" s="20"/>
      <c r="F97" s="21"/>
      <c r="G97" s="22"/>
      <c r="H97" s="2"/>
      <c r="I97" s="324"/>
      <c r="J97" s="1"/>
      <c r="K97" s="1"/>
      <c r="R97" s="38"/>
      <c r="S97" s="38"/>
      <c r="T97" s="38"/>
      <c r="U97" s="38"/>
    </row>
    <row r="98" spans="1:21" s="80" customFormat="1" x14ac:dyDescent="0.2">
      <c r="A98" s="74"/>
      <c r="B98" s="325"/>
      <c r="C98" s="325"/>
      <c r="D98" s="72"/>
      <c r="E98" s="20"/>
      <c r="F98" s="21"/>
      <c r="G98" s="22"/>
      <c r="H98" s="2"/>
      <c r="I98" s="324"/>
      <c r="J98" s="1"/>
      <c r="K98" s="1"/>
      <c r="R98" s="38"/>
      <c r="S98" s="38"/>
      <c r="T98" s="38"/>
      <c r="U98" s="38"/>
    </row>
    <row r="99" spans="1:21" s="80" customFormat="1" x14ac:dyDescent="0.2">
      <c r="A99" s="74"/>
      <c r="B99" s="325"/>
      <c r="C99" s="325"/>
      <c r="D99" s="72"/>
      <c r="E99" s="20"/>
      <c r="F99" s="21"/>
      <c r="G99" s="22"/>
      <c r="H99" s="2"/>
      <c r="I99" s="324"/>
      <c r="J99" s="1"/>
      <c r="K99" s="1"/>
      <c r="R99" s="38"/>
      <c r="S99" s="38"/>
      <c r="T99" s="38"/>
      <c r="U99" s="38"/>
    </row>
    <row r="100" spans="1:21" s="80" customFormat="1" x14ac:dyDescent="0.2">
      <c r="A100" s="74"/>
      <c r="B100" s="325"/>
      <c r="C100" s="325"/>
      <c r="D100" s="72"/>
      <c r="E100" s="20"/>
      <c r="F100" s="21"/>
      <c r="G100" s="22"/>
      <c r="H100" s="2"/>
      <c r="I100" s="324"/>
      <c r="J100" s="1"/>
      <c r="K100" s="1"/>
      <c r="R100" s="38"/>
      <c r="S100" s="38"/>
      <c r="T100" s="38"/>
      <c r="U100" s="38"/>
    </row>
    <row r="101" spans="1:21" s="80" customFormat="1" x14ac:dyDescent="0.2">
      <c r="A101" s="74"/>
      <c r="B101" s="325"/>
      <c r="C101" s="325"/>
      <c r="D101" s="72"/>
      <c r="E101" s="20"/>
      <c r="F101" s="21"/>
      <c r="G101" s="22"/>
      <c r="H101" s="2"/>
      <c r="I101" s="324"/>
      <c r="J101" s="1"/>
      <c r="K101" s="1"/>
      <c r="R101" s="38"/>
      <c r="S101" s="38"/>
      <c r="T101" s="38"/>
      <c r="U101" s="38"/>
    </row>
    <row r="102" spans="1:21" s="80" customFormat="1" x14ac:dyDescent="0.2">
      <c r="A102" s="74"/>
      <c r="B102" s="325"/>
      <c r="C102" s="325"/>
      <c r="D102" s="72"/>
      <c r="E102" s="20"/>
      <c r="F102" s="21"/>
      <c r="G102" s="22"/>
      <c r="H102" s="2"/>
      <c r="I102" s="324"/>
      <c r="J102" s="1"/>
      <c r="K102" s="1"/>
      <c r="R102" s="38"/>
      <c r="S102" s="38"/>
      <c r="T102" s="38"/>
      <c r="U102" s="38"/>
    </row>
    <row r="103" spans="1:21" x14ac:dyDescent="0.2">
      <c r="A103" s="74"/>
      <c r="B103" s="325"/>
      <c r="C103" s="325"/>
      <c r="D103" s="72"/>
      <c r="E103" s="20"/>
      <c r="F103" s="21"/>
      <c r="G103" s="22"/>
      <c r="H103" s="2"/>
      <c r="I103" s="324"/>
    </row>
    <row r="104" spans="1:21" x14ac:dyDescent="0.2">
      <c r="A104" s="74"/>
      <c r="B104" s="325"/>
      <c r="C104" s="325"/>
      <c r="D104" s="72"/>
      <c r="E104" s="20"/>
      <c r="F104" s="21"/>
      <c r="G104" s="22"/>
      <c r="H104" s="2"/>
      <c r="I104" s="324"/>
    </row>
    <row r="105" spans="1:21" x14ac:dyDescent="0.2">
      <c r="A105" s="74"/>
      <c r="B105" s="325"/>
      <c r="C105" s="325"/>
      <c r="D105" s="72"/>
      <c r="E105" s="20"/>
      <c r="F105" s="21"/>
      <c r="G105" s="22"/>
      <c r="H105" s="2"/>
      <c r="I105" s="324"/>
    </row>
    <row r="106" spans="1:21" x14ac:dyDescent="0.2">
      <c r="A106" s="74"/>
      <c r="B106" s="325"/>
      <c r="C106" s="325"/>
      <c r="D106" s="72"/>
      <c r="E106" s="20"/>
      <c r="F106" s="21"/>
      <c r="G106" s="22"/>
      <c r="H106" s="2"/>
      <c r="I106" s="324"/>
    </row>
    <row r="107" spans="1:21" x14ac:dyDescent="0.2">
      <c r="A107" s="74"/>
      <c r="B107" s="325"/>
      <c r="C107" s="325"/>
      <c r="D107" s="72"/>
      <c r="E107" s="20"/>
      <c r="F107" s="21"/>
      <c r="G107" s="22"/>
      <c r="H107" s="2"/>
      <c r="I107" s="324"/>
    </row>
    <row r="108" spans="1:21" x14ac:dyDescent="0.2">
      <c r="A108" s="74"/>
      <c r="B108" s="325"/>
      <c r="C108" s="325"/>
      <c r="D108" s="72"/>
      <c r="E108" s="20"/>
      <c r="F108" s="21"/>
      <c r="G108" s="22"/>
      <c r="H108" s="2"/>
      <c r="I108" s="324"/>
    </row>
    <row r="109" spans="1:21" x14ac:dyDescent="0.2">
      <c r="A109" s="74"/>
      <c r="B109" s="325"/>
      <c r="C109" s="325"/>
      <c r="D109" s="72"/>
      <c r="E109" s="20"/>
      <c r="F109" s="21"/>
      <c r="G109" s="22"/>
      <c r="H109" s="2"/>
      <c r="I109" s="324"/>
    </row>
    <row r="110" spans="1:21" x14ac:dyDescent="0.2">
      <c r="A110" s="25"/>
      <c r="B110" s="75"/>
      <c r="C110" s="75"/>
      <c r="D110" s="31"/>
      <c r="E110" s="2"/>
      <c r="F110" s="26"/>
      <c r="G110" s="22"/>
      <c r="H110" s="2"/>
      <c r="I110" s="324"/>
    </row>
    <row r="111" spans="1:21" x14ac:dyDescent="0.2">
      <c r="A111" s="25"/>
      <c r="B111" s="76"/>
      <c r="C111" s="76"/>
      <c r="D111" s="31"/>
      <c r="E111" s="2"/>
      <c r="F111" s="26"/>
      <c r="G111" s="22"/>
      <c r="H111" s="2"/>
      <c r="I111" s="324"/>
    </row>
    <row r="112" spans="1:21" x14ac:dyDescent="0.2">
      <c r="A112" s="25"/>
      <c r="B112" s="326"/>
      <c r="C112" s="326"/>
      <c r="D112" s="31"/>
      <c r="E112" s="73"/>
      <c r="F112" s="77"/>
      <c r="G112" s="78"/>
      <c r="H112" s="2"/>
      <c r="I112" s="324"/>
    </row>
    <row r="113" spans="1:9" x14ac:dyDescent="0.2">
      <c r="A113" s="25"/>
      <c r="B113" s="27"/>
      <c r="C113" s="27"/>
      <c r="D113" s="31"/>
      <c r="E113" s="73"/>
      <c r="F113" s="77"/>
      <c r="G113" s="78"/>
      <c r="H113" s="2"/>
      <c r="I113" s="324"/>
    </row>
    <row r="114" spans="1:9" x14ac:dyDescent="0.2">
      <c r="A114" s="25"/>
      <c r="B114" s="27"/>
      <c r="C114" s="27"/>
      <c r="D114" s="79"/>
      <c r="E114" s="73"/>
      <c r="F114" s="77"/>
      <c r="G114" s="78"/>
      <c r="H114" s="2"/>
      <c r="I114" s="324"/>
    </row>
    <row r="115" spans="1:9" x14ac:dyDescent="0.2">
      <c r="A115" s="25"/>
      <c r="B115" s="27"/>
      <c r="C115" s="27"/>
      <c r="E115" s="73"/>
      <c r="F115" s="77"/>
      <c r="G115" s="78"/>
      <c r="H115" s="34"/>
      <c r="I115" s="324"/>
    </row>
    <row r="116" spans="1:9" x14ac:dyDescent="0.2">
      <c r="A116" s="25"/>
      <c r="B116" s="27"/>
      <c r="C116" s="27"/>
      <c r="D116" s="348"/>
      <c r="E116" s="27"/>
      <c r="F116" s="35"/>
      <c r="G116" s="30"/>
      <c r="H116" s="34"/>
      <c r="I116" s="324"/>
    </row>
    <row r="117" spans="1:9" x14ac:dyDescent="0.2">
      <c r="A117" s="25"/>
      <c r="D117" s="348"/>
      <c r="E117" s="30"/>
      <c r="F117" s="35"/>
      <c r="G117" s="30"/>
      <c r="H117" s="34"/>
      <c r="I117" s="324"/>
    </row>
    <row r="118" spans="1:9" x14ac:dyDescent="0.2">
      <c r="A118" s="25"/>
      <c r="B118" s="27"/>
      <c r="C118" s="27"/>
      <c r="E118" s="28"/>
      <c r="F118" s="33"/>
      <c r="G118" s="28"/>
      <c r="H118" s="34"/>
      <c r="I118" s="324"/>
    </row>
    <row r="119" spans="1:9" x14ac:dyDescent="0.2">
      <c r="A119" s="25"/>
      <c r="E119" s="37"/>
      <c r="F119" s="24"/>
      <c r="G119" s="28"/>
      <c r="H119" s="2"/>
      <c r="I119" s="324"/>
    </row>
    <row r="120" spans="1:9" x14ac:dyDescent="0.2">
      <c r="A120" s="25"/>
      <c r="B120" s="27"/>
      <c r="C120" s="27"/>
      <c r="D120" s="348"/>
      <c r="E120" s="30"/>
      <c r="F120" s="35"/>
      <c r="G120" s="30"/>
      <c r="H120" s="34"/>
      <c r="I120" s="324"/>
    </row>
    <row r="121" spans="1:9" x14ac:dyDescent="0.2">
      <c r="A121" s="38"/>
      <c r="B121" s="38"/>
      <c r="C121" s="38"/>
      <c r="D121" s="39"/>
      <c r="E121" s="38"/>
      <c r="F121" s="40"/>
      <c r="G121" s="41"/>
    </row>
    <row r="122" spans="1:9" x14ac:dyDescent="0.2">
      <c r="A122" s="38"/>
      <c r="B122" s="38"/>
      <c r="C122" s="38"/>
      <c r="D122" s="39"/>
      <c r="E122" s="38"/>
      <c r="F122" s="40"/>
      <c r="G122" s="41"/>
    </row>
    <row r="123" spans="1:9" x14ac:dyDescent="0.2">
      <c r="A123" s="38"/>
      <c r="B123" s="38"/>
      <c r="C123" s="38"/>
      <c r="D123" s="348"/>
      <c r="E123" s="27"/>
      <c r="F123" s="43"/>
      <c r="G123" s="27"/>
    </row>
    <row r="124" spans="1:9" x14ac:dyDescent="0.2">
      <c r="D124" s="348"/>
      <c r="E124" s="27"/>
      <c r="F124" s="45"/>
      <c r="G124" s="27"/>
    </row>
    <row r="125" spans="1:9" x14ac:dyDescent="0.2">
      <c r="D125" s="348"/>
      <c r="E125" s="27"/>
      <c r="F125" s="43"/>
      <c r="G125" s="27"/>
    </row>
    <row r="126" spans="1:9" x14ac:dyDescent="0.2">
      <c r="D126" s="348"/>
      <c r="E126" s="27"/>
      <c r="F126" s="43"/>
      <c r="G126" s="27"/>
    </row>
    <row r="127" spans="1:9" x14ac:dyDescent="0.2">
      <c r="D127" s="348"/>
      <c r="E127" s="27"/>
      <c r="F127" s="43"/>
      <c r="G127" s="27"/>
    </row>
  </sheetData>
  <sheetProtection algorithmName="SHA-512" hashValue="aWPTPomauDWExQ5hwMqXjFTvN6V6JIdn0koWZJGkeyyV3asZdmvQUsaCKjRpLV2pb6Nd/pzMBeg+HeZlLaf2Mw==" saltValue="aX4jQVj6N69BP2qkqrEe/Q==" spinCount="100000" sheet="1" objects="1" scenarios="1"/>
  <mergeCells count="69">
    <mergeCell ref="K1:O2"/>
    <mergeCell ref="B3:O4"/>
    <mergeCell ref="A6:A7"/>
    <mergeCell ref="B6:C7"/>
    <mergeCell ref="D6:D7"/>
    <mergeCell ref="E6:E7"/>
    <mergeCell ref="F6:G6"/>
    <mergeCell ref="H6:I6"/>
    <mergeCell ref="J6:K6"/>
    <mergeCell ref="L6:M6"/>
    <mergeCell ref="B22:C22"/>
    <mergeCell ref="B23:C23"/>
    <mergeCell ref="A17:A20"/>
    <mergeCell ref="B17:B20"/>
    <mergeCell ref="N6:O6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21:C21"/>
    <mergeCell ref="A24:A27"/>
    <mergeCell ref="B24:B27"/>
    <mergeCell ref="B40:C4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28:C28"/>
    <mergeCell ref="B52:C52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64:C64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5:C65"/>
    <mergeCell ref="B66:C66"/>
    <mergeCell ref="B67:C67"/>
    <mergeCell ref="B68:C68"/>
    <mergeCell ref="B69:C69"/>
  </mergeCells>
  <printOptions horizontalCentered="1" verticalCentered="1"/>
  <pageMargins left="0.6692913385826772" right="0" top="0.23622047244094491" bottom="0" header="7.874015748031496E-2" footer="7.874015748031496E-2"/>
  <pageSetup paperSize="9" scale="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9"/>
  <sheetViews>
    <sheetView topLeftCell="A25" zoomScale="145" zoomScaleNormal="145" workbookViewId="0">
      <selection activeCell="G31" sqref="G31"/>
    </sheetView>
  </sheetViews>
  <sheetFormatPr defaultColWidth="9" defaultRowHeight="12.75" x14ac:dyDescent="0.2"/>
  <cols>
    <col min="1" max="1" width="3" style="1" customWidth="1"/>
    <col min="2" max="2" width="9.5" style="1" customWidth="1"/>
    <col min="3" max="3" width="39" style="1" customWidth="1"/>
    <col min="4" max="4" width="8.5" style="25" customWidth="1"/>
    <col min="5" max="5" width="9.5" style="1" customWidth="1"/>
    <col min="6" max="6" width="6.25" style="1" customWidth="1"/>
    <col min="7" max="7" width="11.5" style="1" customWidth="1"/>
    <col min="8" max="16384" width="9" style="1"/>
  </cols>
  <sheetData>
    <row r="1" spans="1:9" ht="12.75" customHeight="1" x14ac:dyDescent="0.2">
      <c r="E1" s="940" t="s">
        <v>158</v>
      </c>
      <c r="F1" s="940"/>
      <c r="G1" s="940"/>
      <c r="H1" s="734"/>
      <c r="I1" s="734"/>
    </row>
    <row r="2" spans="1:9" x14ac:dyDescent="0.2">
      <c r="E2" s="940"/>
      <c r="F2" s="940"/>
      <c r="G2" s="940"/>
      <c r="H2" s="734"/>
      <c r="I2" s="734"/>
    </row>
    <row r="3" spans="1:9" ht="31.5" customHeight="1" x14ac:dyDescent="0.2">
      <c r="A3" s="88"/>
      <c r="B3" s="951" t="s">
        <v>146</v>
      </c>
      <c r="C3" s="951"/>
      <c r="D3" s="951"/>
      <c r="E3" s="951"/>
      <c r="F3" s="951"/>
      <c r="G3" s="734"/>
      <c r="H3" s="734"/>
      <c r="I3" s="734"/>
    </row>
    <row r="4" spans="1:9" ht="27" customHeight="1" x14ac:dyDescent="0.2">
      <c r="B4" s="951"/>
      <c r="C4" s="951"/>
      <c r="D4" s="951"/>
      <c r="E4" s="951"/>
      <c r="F4" s="951"/>
      <c r="G4" s="734"/>
    </row>
    <row r="5" spans="1:9" ht="22.5" customHeight="1" x14ac:dyDescent="0.2">
      <c r="F5" s="734"/>
      <c r="G5" s="734"/>
    </row>
    <row r="6" spans="1:9" x14ac:dyDescent="0.2">
      <c r="C6" s="213" t="s">
        <v>121</v>
      </c>
    </row>
    <row r="7" spans="1:9" ht="13.5" thickBot="1" x14ac:dyDescent="0.25">
      <c r="A7" s="212" t="s">
        <v>160</v>
      </c>
      <c r="B7" s="212"/>
      <c r="C7" s="212"/>
      <c r="D7" s="946" t="s">
        <v>157</v>
      </c>
      <c r="E7" s="946"/>
      <c r="F7" s="946"/>
      <c r="G7" s="946"/>
    </row>
    <row r="8" spans="1:9" x14ac:dyDescent="0.2">
      <c r="A8" s="986" t="s">
        <v>0</v>
      </c>
      <c r="B8" s="988" t="s">
        <v>8</v>
      </c>
      <c r="C8" s="989"/>
      <c r="D8" s="992" t="s">
        <v>20</v>
      </c>
      <c r="E8" s="994" t="s">
        <v>21</v>
      </c>
      <c r="F8" s="978" t="s">
        <v>159</v>
      </c>
      <c r="G8" s="979"/>
    </row>
    <row r="9" spans="1:9" ht="13.5" thickBot="1" x14ac:dyDescent="0.25">
      <c r="A9" s="987"/>
      <c r="B9" s="990"/>
      <c r="C9" s="991"/>
      <c r="D9" s="993"/>
      <c r="E9" s="995"/>
      <c r="F9" s="769" t="s">
        <v>26</v>
      </c>
      <c r="G9" s="770" t="s">
        <v>5</v>
      </c>
    </row>
    <row r="10" spans="1:9" ht="13.5" thickBot="1" x14ac:dyDescent="0.25">
      <c r="A10" s="771" t="s">
        <v>27</v>
      </c>
      <c r="B10" s="980" t="s">
        <v>28</v>
      </c>
      <c r="C10" s="981"/>
      <c r="D10" s="171">
        <v>1</v>
      </c>
      <c r="E10" s="219">
        <v>2</v>
      </c>
      <c r="F10" s="404">
        <v>3</v>
      </c>
      <c r="G10" s="397">
        <v>4</v>
      </c>
    </row>
    <row r="11" spans="1:9" ht="13.5" thickBot="1" x14ac:dyDescent="0.25">
      <c r="A11" s="756">
        <v>1</v>
      </c>
      <c r="B11" s="982" t="s">
        <v>29</v>
      </c>
      <c r="C11" s="983"/>
      <c r="D11" s="136" t="s">
        <v>30</v>
      </c>
      <c r="E11" s="132">
        <v>94250</v>
      </c>
      <c r="F11" s="772">
        <v>122.80000000000001</v>
      </c>
      <c r="G11" s="773">
        <v>11573900.000000002</v>
      </c>
    </row>
    <row r="12" spans="1:9" ht="13.5" thickBot="1" x14ac:dyDescent="0.25">
      <c r="A12" s="776">
        <v>2</v>
      </c>
      <c r="B12" s="984" t="s">
        <v>35</v>
      </c>
      <c r="C12" s="985"/>
      <c r="D12" s="777"/>
      <c r="E12" s="778"/>
      <c r="F12" s="779">
        <v>0</v>
      </c>
      <c r="G12" s="780">
        <v>11573900.000000002</v>
      </c>
    </row>
    <row r="13" spans="1:9" ht="13.5" thickBot="1" x14ac:dyDescent="0.25">
      <c r="A13" s="755">
        <v>3</v>
      </c>
      <c r="B13" s="974" t="s">
        <v>41</v>
      </c>
      <c r="C13" s="975"/>
      <c r="D13" s="754" t="s">
        <v>40</v>
      </c>
      <c r="E13" s="133">
        <v>55000</v>
      </c>
      <c r="F13" s="774">
        <v>720.63635999999997</v>
      </c>
      <c r="G13" s="775">
        <f>F13*E13</f>
        <v>39634999.799999997</v>
      </c>
    </row>
    <row r="14" spans="1:9" ht="17.25" customHeight="1" thickBot="1" x14ac:dyDescent="0.25">
      <c r="A14" s="776">
        <v>4</v>
      </c>
      <c r="B14" s="976" t="s">
        <v>42</v>
      </c>
      <c r="C14" s="977"/>
      <c r="D14" s="783"/>
      <c r="E14" s="784"/>
      <c r="F14" s="779">
        <v>0</v>
      </c>
      <c r="G14" s="780">
        <v>39635000</v>
      </c>
    </row>
    <row r="15" spans="1:9" s="8" customFormat="1" ht="13.5" thickBot="1" x14ac:dyDescent="0.25">
      <c r="A15" s="776">
        <v>5</v>
      </c>
      <c r="B15" s="972" t="s">
        <v>49</v>
      </c>
      <c r="C15" s="973"/>
      <c r="D15" s="785"/>
      <c r="E15" s="786"/>
      <c r="F15" s="779">
        <v>0</v>
      </c>
      <c r="G15" s="780">
        <v>39635000</v>
      </c>
    </row>
    <row r="16" spans="1:9" x14ac:dyDescent="0.2">
      <c r="A16" s="131">
        <v>6</v>
      </c>
      <c r="B16" s="962" t="s">
        <v>52</v>
      </c>
      <c r="C16" s="963"/>
      <c r="D16" s="137" t="s">
        <v>53</v>
      </c>
      <c r="E16" s="134">
        <f>92811*0.1+92811</f>
        <v>102092.1</v>
      </c>
      <c r="F16" s="781">
        <v>90</v>
      </c>
      <c r="G16" s="782">
        <v>9188289</v>
      </c>
    </row>
    <row r="17" spans="1:7" ht="44.25" customHeight="1" x14ac:dyDescent="0.2">
      <c r="A17" s="756">
        <v>7</v>
      </c>
      <c r="B17" s="964" t="s">
        <v>54</v>
      </c>
      <c r="C17" s="965"/>
      <c r="D17" s="137" t="s">
        <v>53</v>
      </c>
      <c r="E17" s="134">
        <f>92846*0.1+92846</f>
        <v>102130.6</v>
      </c>
      <c r="F17" s="781">
        <v>360</v>
      </c>
      <c r="G17" s="782">
        <v>36767016</v>
      </c>
    </row>
    <row r="18" spans="1:7" x14ac:dyDescent="0.2">
      <c r="A18" s="131">
        <v>8</v>
      </c>
      <c r="B18" s="964" t="s">
        <v>55</v>
      </c>
      <c r="C18" s="965"/>
      <c r="D18" s="137" t="s">
        <v>33</v>
      </c>
      <c r="E18" s="134">
        <v>4000000</v>
      </c>
      <c r="F18" s="781">
        <v>11</v>
      </c>
      <c r="G18" s="782">
        <v>44000000</v>
      </c>
    </row>
    <row r="19" spans="1:7" ht="44.25" customHeight="1" x14ac:dyDescent="0.2">
      <c r="A19" s="756">
        <v>9</v>
      </c>
      <c r="B19" s="966" t="s">
        <v>56</v>
      </c>
      <c r="C19" s="967"/>
      <c r="D19" s="137" t="s">
        <v>33</v>
      </c>
      <c r="E19" s="134">
        <v>4000000</v>
      </c>
      <c r="F19" s="781">
        <v>41</v>
      </c>
      <c r="G19" s="782">
        <v>164000000</v>
      </c>
    </row>
    <row r="20" spans="1:7" ht="31.5" customHeight="1" x14ac:dyDescent="0.2">
      <c r="A20" s="756">
        <v>10</v>
      </c>
      <c r="B20" s="964" t="s">
        <v>57</v>
      </c>
      <c r="C20" s="965"/>
      <c r="D20" s="137" t="s">
        <v>53</v>
      </c>
      <c r="E20" s="134">
        <f>92846</f>
        <v>92846</v>
      </c>
      <c r="F20" s="781">
        <v>1017</v>
      </c>
      <c r="G20" s="782">
        <v>94424382</v>
      </c>
    </row>
    <row r="21" spans="1:7" x14ac:dyDescent="0.2">
      <c r="A21" s="131">
        <v>11</v>
      </c>
      <c r="B21" s="966" t="s">
        <v>16</v>
      </c>
      <c r="C21" s="967"/>
      <c r="D21" s="137" t="s">
        <v>58</v>
      </c>
      <c r="E21" s="134">
        <f>93160.75*0.1+93160.75</f>
        <v>102476.825</v>
      </c>
      <c r="F21" s="781">
        <v>1017.6</v>
      </c>
      <c r="G21" s="782">
        <v>104280417.12</v>
      </c>
    </row>
    <row r="22" spans="1:7" ht="36" customHeight="1" thickBot="1" x14ac:dyDescent="0.25">
      <c r="A22" s="755">
        <v>12</v>
      </c>
      <c r="B22" s="968" t="s">
        <v>59</v>
      </c>
      <c r="C22" s="969"/>
      <c r="D22" s="139" t="s">
        <v>60</v>
      </c>
      <c r="E22" s="133">
        <f>123810*0.1+123810</f>
        <v>136191</v>
      </c>
      <c r="F22" s="774">
        <v>164</v>
      </c>
      <c r="G22" s="775">
        <v>22335324</v>
      </c>
    </row>
    <row r="23" spans="1:7" ht="13.5" thickBot="1" x14ac:dyDescent="0.25">
      <c r="A23" s="787">
        <v>13</v>
      </c>
      <c r="B23" s="970" t="s">
        <v>61</v>
      </c>
      <c r="C23" s="971"/>
      <c r="D23" s="788"/>
      <c r="E23" s="789"/>
      <c r="F23" s="779">
        <v>0</v>
      </c>
      <c r="G23" s="780">
        <v>474995428.12</v>
      </c>
    </row>
    <row r="24" spans="1:7" ht="13.5" thickBot="1" x14ac:dyDescent="0.25">
      <c r="A24" s="787">
        <v>14</v>
      </c>
      <c r="B24" s="960" t="s">
        <v>84</v>
      </c>
      <c r="C24" s="961"/>
      <c r="D24" s="790"/>
      <c r="E24" s="791"/>
      <c r="F24" s="779">
        <v>0</v>
      </c>
      <c r="G24" s="780">
        <v>526204328.12</v>
      </c>
    </row>
    <row r="25" spans="1:7" ht="13.5" thickBot="1" x14ac:dyDescent="0.25">
      <c r="A25" s="756">
        <v>15</v>
      </c>
      <c r="B25" s="958" t="s">
        <v>78</v>
      </c>
      <c r="C25" s="959"/>
      <c r="D25" s="286" t="s">
        <v>79</v>
      </c>
      <c r="E25" s="132">
        <v>1500000</v>
      </c>
      <c r="F25" s="792">
        <v>12</v>
      </c>
      <c r="G25" s="793">
        <v>18000000</v>
      </c>
    </row>
    <row r="26" spans="1:7" ht="13.5" thickBot="1" x14ac:dyDescent="0.25">
      <c r="A26" s="794">
        <v>16</v>
      </c>
      <c r="B26" s="952" t="s">
        <v>83</v>
      </c>
      <c r="C26" s="953"/>
      <c r="D26" s="795"/>
      <c r="E26" s="796"/>
      <c r="F26" s="797"/>
      <c r="G26" s="798">
        <v>18000000</v>
      </c>
    </row>
    <row r="27" spans="1:7" ht="13.5" thickBot="1" x14ac:dyDescent="0.25">
      <c r="A27" s="787">
        <v>17</v>
      </c>
      <c r="B27" s="954" t="s">
        <v>85</v>
      </c>
      <c r="C27" s="955"/>
      <c r="D27" s="799"/>
      <c r="E27" s="800"/>
      <c r="F27" s="409"/>
      <c r="G27" s="780">
        <v>18000000</v>
      </c>
    </row>
    <row r="28" spans="1:7" ht="13.5" thickBot="1" x14ac:dyDescent="0.25">
      <c r="A28" s="801">
        <v>18</v>
      </c>
      <c r="B28" s="956" t="s">
        <v>86</v>
      </c>
      <c r="C28" s="957"/>
      <c r="D28" s="802"/>
      <c r="E28" s="803"/>
      <c r="F28" s="419"/>
      <c r="G28" s="804">
        <v>544204328.12</v>
      </c>
    </row>
    <row r="29" spans="1:7" ht="14.25" thickBot="1" x14ac:dyDescent="0.3">
      <c r="A29" s="787">
        <v>19</v>
      </c>
      <c r="B29" s="949" t="s">
        <v>15</v>
      </c>
      <c r="C29" s="950"/>
      <c r="D29" s="805" t="s">
        <v>2</v>
      </c>
      <c r="E29" s="806" t="s">
        <v>2</v>
      </c>
      <c r="F29" s="409"/>
      <c r="G29" s="780">
        <v>54420432.812000006</v>
      </c>
    </row>
    <row r="30" spans="1:7" ht="13.5" thickBot="1" x14ac:dyDescent="0.25">
      <c r="A30" s="801">
        <v>20</v>
      </c>
      <c r="B30" s="947" t="s">
        <v>4</v>
      </c>
      <c r="C30" s="948"/>
      <c r="D30" s="807" t="s">
        <v>2</v>
      </c>
      <c r="E30" s="808">
        <v>0.05</v>
      </c>
      <c r="F30" s="419"/>
      <c r="G30" s="809">
        <v>2466494</v>
      </c>
    </row>
    <row r="31" spans="1:7" ht="13.5" thickBot="1" x14ac:dyDescent="0.25">
      <c r="A31" s="787">
        <v>21</v>
      </c>
      <c r="B31" s="949" t="s">
        <v>87</v>
      </c>
      <c r="C31" s="950"/>
      <c r="D31" s="810"/>
      <c r="E31" s="811"/>
      <c r="F31" s="409"/>
      <c r="G31" s="780">
        <v>601091254.93200004</v>
      </c>
    </row>
    <row r="32" spans="1:7" s="80" customFormat="1" x14ac:dyDescent="0.2">
      <c r="A32" s="213" t="s">
        <v>134</v>
      </c>
      <c r="B32" s="812"/>
      <c r="C32" s="812"/>
      <c r="D32" s="813"/>
      <c r="E32" s="814"/>
      <c r="F32" s="815"/>
      <c r="G32" s="815"/>
    </row>
    <row r="33" spans="1:7" s="80" customFormat="1" ht="21" customHeight="1" x14ac:dyDescent="0.2">
      <c r="A33" s="816"/>
      <c r="B33" s="816"/>
      <c r="C33" s="816" t="s">
        <v>153</v>
      </c>
      <c r="D33" s="816"/>
      <c r="E33" s="816" t="s">
        <v>108</v>
      </c>
      <c r="F33" s="815"/>
      <c r="G33" s="815"/>
    </row>
    <row r="34" spans="1:7" s="80" customFormat="1" ht="13.5" x14ac:dyDescent="0.2">
      <c r="A34" s="817" t="s">
        <v>135</v>
      </c>
      <c r="B34" s="318"/>
      <c r="C34" s="318"/>
      <c r="D34" s="816"/>
      <c r="E34" s="815"/>
      <c r="F34" s="815"/>
      <c r="G34" s="815"/>
    </row>
    <row r="35" spans="1:7" s="80" customFormat="1" ht="21" customHeight="1" x14ac:dyDescent="0.2">
      <c r="A35" s="816"/>
      <c r="B35" s="816"/>
      <c r="C35" s="816" t="s">
        <v>154</v>
      </c>
      <c r="D35" s="818"/>
      <c r="E35" s="816" t="s">
        <v>111</v>
      </c>
      <c r="F35" s="815"/>
      <c r="G35" s="815"/>
    </row>
    <row r="36" spans="1:7" s="80" customFormat="1" x14ac:dyDescent="0.2">
      <c r="A36" s="213" t="s">
        <v>156</v>
      </c>
      <c r="B36" s="318"/>
      <c r="C36" s="318"/>
      <c r="D36" s="816"/>
      <c r="E36" s="815"/>
      <c r="F36" s="815"/>
      <c r="G36" s="815"/>
    </row>
    <row r="37" spans="1:7" s="80" customFormat="1" x14ac:dyDescent="0.2">
      <c r="A37" s="816"/>
      <c r="B37" s="816"/>
      <c r="C37" s="816" t="s">
        <v>155</v>
      </c>
      <c r="E37" s="318" t="s">
        <v>140</v>
      </c>
      <c r="F37" s="815"/>
      <c r="G37" s="815"/>
    </row>
    <row r="38" spans="1:7" s="80" customFormat="1" x14ac:dyDescent="0.2">
      <c r="A38" s="819"/>
      <c r="B38" s="820"/>
      <c r="C38" s="821"/>
      <c r="D38" s="822"/>
      <c r="E38" s="27" t="s">
        <v>141</v>
      </c>
      <c r="G38" s="815"/>
    </row>
    <row r="39" spans="1:7" s="80" customFormat="1" x14ac:dyDescent="0.2">
      <c r="A39" s="816"/>
      <c r="B39" s="816"/>
      <c r="C39" s="816"/>
      <c r="D39" s="816"/>
      <c r="E39" s="813"/>
      <c r="F39" s="815"/>
      <c r="G39" s="815"/>
    </row>
    <row r="40" spans="1:7" s="80" customFormat="1" x14ac:dyDescent="0.2">
      <c r="A40" s="1"/>
      <c r="B40" s="311"/>
      <c r="C40" s="311"/>
      <c r="D40" s="816"/>
    </row>
    <row r="41" spans="1:7" s="80" customFormat="1" x14ac:dyDescent="0.2">
      <c r="A41" s="823"/>
      <c r="B41" s="823"/>
      <c r="C41" s="823"/>
      <c r="D41" s="823"/>
      <c r="E41" s="823"/>
    </row>
    <row r="42" spans="1:7" s="80" customFormat="1" ht="12.75" customHeight="1" x14ac:dyDescent="0.2">
      <c r="A42" s="112"/>
      <c r="B42" s="322"/>
      <c r="C42" s="322"/>
      <c r="D42" s="99"/>
      <c r="E42" s="100"/>
    </row>
    <row r="43" spans="1:7" s="80" customFormat="1" x14ac:dyDescent="0.2">
      <c r="A43" s="112"/>
      <c r="B43" s="322"/>
      <c r="C43" s="322"/>
      <c r="D43" s="99"/>
      <c r="E43" s="100"/>
    </row>
    <row r="44" spans="1:7" s="80" customFormat="1" x14ac:dyDescent="0.2">
      <c r="A44" s="74"/>
      <c r="B44" s="325"/>
      <c r="C44" s="325"/>
      <c r="D44" s="72"/>
      <c r="E44" s="20"/>
    </row>
    <row r="45" spans="1:7" s="80" customFormat="1" x14ac:dyDescent="0.2">
      <c r="A45" s="74"/>
      <c r="B45" s="325"/>
      <c r="C45" s="325"/>
      <c r="D45" s="72"/>
      <c r="E45" s="20"/>
    </row>
    <row r="46" spans="1:7" s="80" customFormat="1" x14ac:dyDescent="0.2">
      <c r="A46" s="74"/>
      <c r="B46" s="325"/>
      <c r="C46" s="325"/>
      <c r="E46" s="20"/>
    </row>
    <row r="47" spans="1:7" s="80" customFormat="1" x14ac:dyDescent="0.2">
      <c r="A47" s="74"/>
      <c r="B47" s="325"/>
      <c r="C47" s="325"/>
      <c r="D47" s="72"/>
      <c r="E47" s="20"/>
    </row>
    <row r="48" spans="1:7" s="80" customFormat="1" x14ac:dyDescent="0.2">
      <c r="A48" s="74"/>
      <c r="B48" s="325"/>
      <c r="C48" s="325"/>
      <c r="D48" s="72"/>
      <c r="E48" s="20"/>
    </row>
    <row r="49" spans="1:5" s="80" customFormat="1" x14ac:dyDescent="0.2">
      <c r="A49" s="74"/>
      <c r="B49" s="325"/>
      <c r="C49" s="325"/>
      <c r="D49" s="72"/>
      <c r="E49" s="20"/>
    </row>
    <row r="50" spans="1:5" s="80" customFormat="1" x14ac:dyDescent="0.2">
      <c r="A50" s="74"/>
      <c r="B50" s="325"/>
      <c r="C50" s="325"/>
      <c r="D50" s="72"/>
      <c r="E50" s="20"/>
    </row>
    <row r="51" spans="1:5" s="80" customFormat="1" x14ac:dyDescent="0.2">
      <c r="A51" s="74"/>
      <c r="B51" s="325"/>
      <c r="C51" s="325"/>
      <c r="D51" s="72"/>
      <c r="E51" s="20"/>
    </row>
    <row r="52" spans="1:5" s="80" customFormat="1" x14ac:dyDescent="0.2">
      <c r="A52" s="74"/>
      <c r="B52" s="325"/>
      <c r="C52" s="325"/>
      <c r="D52" s="72"/>
      <c r="E52" s="20"/>
    </row>
    <row r="53" spans="1:5" s="80" customFormat="1" x14ac:dyDescent="0.2">
      <c r="A53" s="74"/>
      <c r="B53" s="325"/>
      <c r="C53" s="325"/>
      <c r="D53" s="72"/>
      <c r="E53" s="20"/>
    </row>
    <row r="54" spans="1:5" s="80" customFormat="1" x14ac:dyDescent="0.2">
      <c r="A54" s="74"/>
      <c r="B54" s="325"/>
      <c r="C54" s="325"/>
      <c r="D54" s="72"/>
      <c r="E54" s="20"/>
    </row>
    <row r="55" spans="1:5" s="80" customFormat="1" x14ac:dyDescent="0.2">
      <c r="A55" s="74"/>
      <c r="B55" s="325"/>
      <c r="C55" s="325"/>
      <c r="D55" s="72"/>
      <c r="E55" s="20"/>
    </row>
    <row r="56" spans="1:5" s="80" customFormat="1" x14ac:dyDescent="0.2">
      <c r="A56" s="74"/>
      <c r="B56" s="325"/>
      <c r="C56" s="325"/>
      <c r="D56" s="72"/>
      <c r="E56" s="20"/>
    </row>
    <row r="57" spans="1:5" s="80" customFormat="1" x14ac:dyDescent="0.2">
      <c r="A57" s="74"/>
      <c r="B57" s="325"/>
      <c r="C57" s="325"/>
      <c r="D57" s="72"/>
      <c r="E57" s="20"/>
    </row>
    <row r="58" spans="1:5" s="80" customFormat="1" x14ac:dyDescent="0.2">
      <c r="A58" s="74"/>
      <c r="B58" s="325"/>
      <c r="C58" s="325"/>
      <c r="D58" s="72"/>
      <c r="E58" s="20"/>
    </row>
    <row r="59" spans="1:5" s="80" customFormat="1" x14ac:dyDescent="0.2">
      <c r="A59" s="74"/>
      <c r="B59" s="325"/>
      <c r="C59" s="325"/>
      <c r="D59" s="72"/>
      <c r="E59" s="20"/>
    </row>
    <row r="60" spans="1:5" s="80" customFormat="1" x14ac:dyDescent="0.2">
      <c r="A60" s="74"/>
      <c r="B60" s="325"/>
      <c r="C60" s="325"/>
      <c r="D60" s="72"/>
      <c r="E60" s="20"/>
    </row>
    <row r="61" spans="1:5" s="80" customFormat="1" x14ac:dyDescent="0.2">
      <c r="A61" s="74"/>
      <c r="B61" s="325"/>
      <c r="C61" s="325"/>
      <c r="D61" s="72"/>
      <c r="E61" s="20"/>
    </row>
    <row r="62" spans="1:5" s="80" customFormat="1" x14ac:dyDescent="0.2">
      <c r="A62" s="74"/>
      <c r="B62" s="325"/>
      <c r="C62" s="325"/>
      <c r="D62" s="72"/>
      <c r="E62" s="20"/>
    </row>
    <row r="63" spans="1:5" s="80" customFormat="1" x14ac:dyDescent="0.2">
      <c r="A63" s="74"/>
      <c r="B63" s="325"/>
      <c r="C63" s="325"/>
      <c r="D63" s="72"/>
      <c r="E63" s="20"/>
    </row>
    <row r="64" spans="1:5" s="80" customFormat="1" x14ac:dyDescent="0.2">
      <c r="A64" s="74"/>
      <c r="B64" s="325"/>
      <c r="C64" s="325"/>
      <c r="D64" s="72"/>
      <c r="E64" s="20"/>
    </row>
    <row r="65" spans="1:25" s="80" customFormat="1" x14ac:dyDescent="0.2">
      <c r="A65" s="74"/>
      <c r="B65" s="325"/>
      <c r="C65" s="325"/>
      <c r="D65" s="72"/>
      <c r="E65" s="20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s="80" customFormat="1" x14ac:dyDescent="0.2">
      <c r="A66" s="74"/>
      <c r="B66" s="325"/>
      <c r="C66" s="325"/>
      <c r="D66" s="72"/>
      <c r="E66" s="20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s="80" customFormat="1" x14ac:dyDescent="0.2">
      <c r="A67" s="74"/>
      <c r="B67" s="325"/>
      <c r="C67" s="325"/>
      <c r="D67" s="72"/>
      <c r="E67" s="20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s="80" customFormat="1" x14ac:dyDescent="0.2">
      <c r="A68" s="74"/>
      <c r="B68" s="325"/>
      <c r="C68" s="325"/>
      <c r="D68" s="72"/>
      <c r="E68" s="20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s="80" customFormat="1" x14ac:dyDescent="0.2">
      <c r="A69" s="74"/>
      <c r="B69" s="325"/>
      <c r="C69" s="325"/>
      <c r="D69" s="72"/>
      <c r="E69" s="20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s="80" customFormat="1" x14ac:dyDescent="0.2">
      <c r="A70" s="74"/>
      <c r="B70" s="325"/>
      <c r="C70" s="325"/>
      <c r="D70" s="72"/>
      <c r="E70" s="20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s="80" customFormat="1" x14ac:dyDescent="0.2">
      <c r="A71" s="74"/>
      <c r="B71" s="325"/>
      <c r="C71" s="325"/>
      <c r="D71" s="72"/>
      <c r="E71" s="20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s="80" customFormat="1" x14ac:dyDescent="0.2">
      <c r="A72" s="25"/>
      <c r="B72" s="75"/>
      <c r="C72" s="75"/>
      <c r="D72" s="3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s="80" customFormat="1" x14ac:dyDescent="0.2">
      <c r="A73" s="25"/>
      <c r="B73" s="76"/>
      <c r="C73" s="76"/>
      <c r="D73" s="3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s="80" customFormat="1" x14ac:dyDescent="0.2">
      <c r="A74" s="25"/>
      <c r="B74" s="326"/>
      <c r="C74" s="326"/>
      <c r="D74" s="31"/>
      <c r="E74" s="73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2">
      <c r="A75" s="25"/>
      <c r="B75" s="27"/>
      <c r="C75" s="27"/>
      <c r="D75" s="31"/>
      <c r="E75" s="73"/>
    </row>
    <row r="76" spans="1:25" x14ac:dyDescent="0.2">
      <c r="A76" s="25"/>
      <c r="B76" s="27"/>
      <c r="C76" s="27"/>
      <c r="D76" s="79"/>
      <c r="E76" s="73"/>
    </row>
    <row r="77" spans="1:25" x14ac:dyDescent="0.2">
      <c r="A77" s="25"/>
      <c r="B77" s="27"/>
      <c r="C77" s="27"/>
      <c r="E77" s="73"/>
    </row>
    <row r="78" spans="1:25" x14ac:dyDescent="0.2">
      <c r="A78" s="25"/>
      <c r="B78" s="27"/>
      <c r="C78" s="27"/>
      <c r="D78" s="348"/>
      <c r="E78" s="27"/>
    </row>
    <row r="79" spans="1:25" x14ac:dyDescent="0.2">
      <c r="A79" s="25"/>
      <c r="D79" s="348"/>
      <c r="E79" s="30"/>
    </row>
    <row r="80" spans="1:25" x14ac:dyDescent="0.2">
      <c r="A80" s="25"/>
      <c r="B80" s="27"/>
      <c r="C80" s="27"/>
      <c r="E80" s="28"/>
    </row>
    <row r="81" spans="1:5" x14ac:dyDescent="0.2">
      <c r="A81" s="25"/>
      <c r="E81" s="37"/>
    </row>
    <row r="82" spans="1:5" x14ac:dyDescent="0.2">
      <c r="A82" s="25"/>
      <c r="B82" s="27"/>
      <c r="C82" s="27"/>
      <c r="D82" s="348"/>
      <c r="E82" s="30"/>
    </row>
    <row r="83" spans="1:5" x14ac:dyDescent="0.2">
      <c r="A83" s="38"/>
      <c r="B83" s="38"/>
      <c r="C83" s="38"/>
      <c r="D83" s="39"/>
      <c r="E83" s="38"/>
    </row>
    <row r="84" spans="1:5" x14ac:dyDescent="0.2">
      <c r="A84" s="38"/>
      <c r="B84" s="38"/>
      <c r="C84" s="38"/>
      <c r="D84" s="39"/>
      <c r="E84" s="38"/>
    </row>
    <row r="85" spans="1:5" x14ac:dyDescent="0.2">
      <c r="A85" s="38"/>
      <c r="B85" s="38"/>
      <c r="C85" s="38"/>
      <c r="D85" s="348"/>
      <c r="E85" s="27"/>
    </row>
    <row r="86" spans="1:5" x14ac:dyDescent="0.2">
      <c r="D86" s="348"/>
      <c r="E86" s="27"/>
    </row>
    <row r="87" spans="1:5" x14ac:dyDescent="0.2">
      <c r="D87" s="348"/>
      <c r="E87" s="27"/>
    </row>
    <row r="88" spans="1:5" x14ac:dyDescent="0.2">
      <c r="D88" s="348"/>
      <c r="E88" s="27"/>
    </row>
    <row r="89" spans="1:5" x14ac:dyDescent="0.2">
      <c r="D89" s="348"/>
      <c r="E89" s="27"/>
    </row>
  </sheetData>
  <sheetProtection algorithmName="SHA-512" hashValue="fJ07CJ9m2wZydJ1UpuDBPCCRCccv4UG/gCjENse766aNq7FJZourGrzoCCjxD+wp4pBxomJ9gjUi2mEjeyt0NA==" saltValue="zfI4TO01I3tdkI9a5519hA==" spinCount="100000" sheet="1" objects="1" scenarios="1"/>
  <mergeCells count="30">
    <mergeCell ref="F8:G8"/>
    <mergeCell ref="B10:C10"/>
    <mergeCell ref="B11:C11"/>
    <mergeCell ref="B12:C12"/>
    <mergeCell ref="A8:A9"/>
    <mergeCell ref="B8:C9"/>
    <mergeCell ref="D8:D9"/>
    <mergeCell ref="E8:E9"/>
    <mergeCell ref="B21:C21"/>
    <mergeCell ref="B22:C22"/>
    <mergeCell ref="B23:C23"/>
    <mergeCell ref="B15:C15"/>
    <mergeCell ref="B13:C13"/>
    <mergeCell ref="B14:C14"/>
    <mergeCell ref="E1:G2"/>
    <mergeCell ref="D7:G7"/>
    <mergeCell ref="B30:C30"/>
    <mergeCell ref="B31:C31"/>
    <mergeCell ref="B3:F4"/>
    <mergeCell ref="B26:C26"/>
    <mergeCell ref="B27:C27"/>
    <mergeCell ref="B28:C28"/>
    <mergeCell ref="B29:C29"/>
    <mergeCell ref="B25:C25"/>
    <mergeCell ref="B24:C24"/>
    <mergeCell ref="B16:C16"/>
    <mergeCell ref="B17:C17"/>
    <mergeCell ref="B18:C18"/>
    <mergeCell ref="B19:C19"/>
    <mergeCell ref="B20:C20"/>
  </mergeCells>
  <pageMargins left="0.6692913385826772" right="0" top="0.23622047244094491" bottom="0" header="7.874015748031496E-2" footer="7.874015748031496E-2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7"/>
  <sheetViews>
    <sheetView topLeftCell="C1" zoomScale="85" zoomScaleNormal="85" workbookViewId="0">
      <selection activeCell="AA69" sqref="AA69"/>
    </sheetView>
  </sheetViews>
  <sheetFormatPr defaultColWidth="9" defaultRowHeight="12.75" x14ac:dyDescent="0.2"/>
  <cols>
    <col min="1" max="1" width="4.375" style="1" customWidth="1"/>
    <col min="2" max="2" width="9.5" style="1" customWidth="1"/>
    <col min="3" max="3" width="49.375" style="1" customWidth="1"/>
    <col min="4" max="4" width="8.5" style="25" customWidth="1"/>
    <col min="5" max="5" width="9.5" style="1" customWidth="1"/>
    <col min="6" max="6" width="8.25" style="47" customWidth="1"/>
    <col min="7" max="7" width="12.25" style="1" customWidth="1"/>
    <col min="8" max="8" width="7.5" style="1" customWidth="1"/>
    <col min="9" max="9" width="13" style="1" customWidth="1"/>
    <col min="10" max="10" width="7" style="1" customWidth="1"/>
    <col min="11" max="11" width="12" style="1" customWidth="1"/>
    <col min="12" max="12" width="6.625" style="1" customWidth="1"/>
    <col min="13" max="13" width="11.25" style="1" customWidth="1"/>
    <col min="14" max="14" width="6.125" style="1" customWidth="1"/>
    <col min="15" max="15" width="11" style="1" customWidth="1"/>
    <col min="16" max="16" width="7.5" style="1" customWidth="1"/>
    <col min="17" max="17" width="12.125" style="1" customWidth="1"/>
    <col min="18" max="18" width="9.5" style="1" customWidth="1"/>
    <col min="19" max="19" width="11.25" style="1" customWidth="1"/>
    <col min="20" max="20" width="6.625" style="1" customWidth="1"/>
    <col min="21" max="21" width="11.75" style="80" customWidth="1"/>
    <col min="22" max="22" width="7" style="80" customWidth="1"/>
    <col min="23" max="23" width="11.375" style="80" customWidth="1"/>
    <col min="24" max="24" width="7.375" style="1" customWidth="1"/>
    <col min="25" max="25" width="11.25" style="1" customWidth="1"/>
    <col min="26" max="16384" width="9" style="1"/>
  </cols>
  <sheetData>
    <row r="1" spans="1:25" ht="24.75" customHeight="1" x14ac:dyDescent="0.2">
      <c r="A1" s="88"/>
      <c r="B1" s="88"/>
      <c r="C1" s="88"/>
      <c r="D1" s="343"/>
      <c r="E1" s="88"/>
      <c r="F1" s="90"/>
      <c r="G1" s="88"/>
      <c r="H1" s="88"/>
      <c r="J1" s="211"/>
      <c r="K1" s="88"/>
      <c r="L1" s="88"/>
      <c r="M1" s="88"/>
      <c r="R1" s="47"/>
      <c r="W1" s="1005" t="s">
        <v>149</v>
      </c>
      <c r="X1" s="1005"/>
      <c r="Y1" s="1005"/>
    </row>
    <row r="2" spans="1:25" ht="14.25" customHeight="1" x14ac:dyDescent="0.2">
      <c r="W2" s="1005"/>
      <c r="X2" s="1005"/>
      <c r="Y2" s="1005"/>
    </row>
    <row r="3" spans="1:25" ht="14.25" customHeight="1" x14ac:dyDescent="0.2">
      <c r="B3" s="996" t="s">
        <v>146</v>
      </c>
      <c r="C3" s="996"/>
      <c r="D3" s="996"/>
      <c r="E3" s="996"/>
      <c r="F3" s="996"/>
      <c r="G3" s="996"/>
      <c r="H3" s="996"/>
      <c r="I3" s="996"/>
      <c r="J3" s="996"/>
      <c r="K3" s="996"/>
      <c r="L3" s="996"/>
      <c r="M3" s="996"/>
      <c r="N3" s="996"/>
      <c r="O3" s="996"/>
      <c r="P3" s="996"/>
      <c r="Q3" s="996"/>
      <c r="R3" s="996"/>
      <c r="S3" s="996"/>
      <c r="T3" s="996"/>
      <c r="W3" s="1005"/>
      <c r="X3" s="1005"/>
      <c r="Y3" s="1005"/>
    </row>
    <row r="4" spans="1:25" ht="14.25" customHeight="1" x14ac:dyDescent="0.2">
      <c r="B4" s="996"/>
      <c r="C4" s="996"/>
      <c r="D4" s="996"/>
      <c r="E4" s="996"/>
      <c r="F4" s="996"/>
      <c r="G4" s="996"/>
      <c r="H4" s="996"/>
      <c r="I4" s="996"/>
      <c r="J4" s="996"/>
      <c r="K4" s="996"/>
      <c r="L4" s="996"/>
      <c r="M4" s="996"/>
      <c r="N4" s="996"/>
      <c r="O4" s="996"/>
      <c r="P4" s="996"/>
      <c r="Q4" s="996"/>
      <c r="R4" s="996"/>
      <c r="S4" s="996"/>
      <c r="T4" s="996"/>
    </row>
    <row r="5" spans="1:25" ht="15" customHeight="1" thickBot="1" x14ac:dyDescent="0.25">
      <c r="A5" s="212" t="s">
        <v>160</v>
      </c>
      <c r="B5" s="212"/>
      <c r="C5" s="212"/>
      <c r="D5" s="213" t="s">
        <v>121</v>
      </c>
      <c r="E5" s="92"/>
      <c r="F5" s="93"/>
      <c r="G5" s="94"/>
      <c r="H5" s="94"/>
      <c r="I5" s="214"/>
      <c r="J5" s="94"/>
      <c r="K5" s="88"/>
      <c r="L5" s="88"/>
      <c r="M5" s="88"/>
      <c r="W5" s="946" t="s">
        <v>122</v>
      </c>
      <c r="X5" s="946"/>
      <c r="Y5" s="946"/>
    </row>
    <row r="6" spans="1:25" ht="26.25" customHeight="1" thickBot="1" x14ac:dyDescent="0.25">
      <c r="A6" s="986" t="s">
        <v>0</v>
      </c>
      <c r="B6" s="988" t="s">
        <v>8</v>
      </c>
      <c r="C6" s="989"/>
      <c r="D6" s="992" t="s">
        <v>20</v>
      </c>
      <c r="E6" s="994" t="s">
        <v>21</v>
      </c>
      <c r="F6" s="1109" t="s">
        <v>22</v>
      </c>
      <c r="G6" s="1110"/>
      <c r="H6" s="1103" t="s">
        <v>123</v>
      </c>
      <c r="I6" s="1104"/>
      <c r="J6" s="1105" t="s">
        <v>124</v>
      </c>
      <c r="K6" s="1106"/>
      <c r="L6" s="1097" t="s">
        <v>125</v>
      </c>
      <c r="M6" s="1098"/>
      <c r="N6" s="1099" t="s">
        <v>126</v>
      </c>
      <c r="O6" s="1100"/>
      <c r="P6" s="1101" t="s">
        <v>147</v>
      </c>
      <c r="Q6" s="1102"/>
      <c r="R6" s="997" t="s">
        <v>144</v>
      </c>
      <c r="S6" s="998"/>
      <c r="T6" s="999" t="s">
        <v>125</v>
      </c>
      <c r="U6" s="1000"/>
      <c r="V6" s="1001" t="s">
        <v>148</v>
      </c>
      <c r="W6" s="1002"/>
      <c r="X6" s="1003" t="s">
        <v>145</v>
      </c>
      <c r="Y6" s="1004"/>
    </row>
    <row r="7" spans="1:25" ht="13.5" thickBot="1" x14ac:dyDescent="0.25">
      <c r="A7" s="987"/>
      <c r="B7" s="990"/>
      <c r="C7" s="991"/>
      <c r="D7" s="993"/>
      <c r="E7" s="995"/>
      <c r="F7" s="497" t="s">
        <v>26</v>
      </c>
      <c r="G7" s="398" t="s">
        <v>6</v>
      </c>
      <c r="H7" s="215" t="s">
        <v>26</v>
      </c>
      <c r="I7" s="216" t="s">
        <v>6</v>
      </c>
      <c r="J7" s="349" t="s">
        <v>26</v>
      </c>
      <c r="K7" s="350" t="s">
        <v>6</v>
      </c>
      <c r="L7" s="367" t="s">
        <v>26</v>
      </c>
      <c r="M7" s="383" t="s">
        <v>6</v>
      </c>
      <c r="N7" s="217" t="s">
        <v>26</v>
      </c>
      <c r="O7" s="218" t="s">
        <v>6</v>
      </c>
      <c r="P7" s="426" t="s">
        <v>26</v>
      </c>
      <c r="Q7" s="427" t="s">
        <v>5</v>
      </c>
      <c r="R7" s="464" t="s">
        <v>26</v>
      </c>
      <c r="S7" s="465" t="s">
        <v>5</v>
      </c>
      <c r="T7" s="480" t="s">
        <v>26</v>
      </c>
      <c r="U7" s="481" t="s">
        <v>5</v>
      </c>
      <c r="V7" s="402" t="s">
        <v>26</v>
      </c>
      <c r="W7" s="403" t="s">
        <v>6</v>
      </c>
      <c r="X7" s="421" t="s">
        <v>26</v>
      </c>
      <c r="Y7" s="422" t="s">
        <v>5</v>
      </c>
    </row>
    <row r="8" spans="1:25" ht="15" customHeight="1" thickBot="1" x14ac:dyDescent="0.25">
      <c r="A8" s="170" t="s">
        <v>27</v>
      </c>
      <c r="B8" s="980" t="s">
        <v>28</v>
      </c>
      <c r="C8" s="981"/>
      <c r="D8" s="171">
        <v>1</v>
      </c>
      <c r="E8" s="219">
        <v>2</v>
      </c>
      <c r="F8" s="498">
        <v>3</v>
      </c>
      <c r="G8" s="399">
        <v>4</v>
      </c>
      <c r="H8" s="220">
        <v>5</v>
      </c>
      <c r="I8" s="221">
        <v>6</v>
      </c>
      <c r="J8" s="351">
        <v>9</v>
      </c>
      <c r="K8" s="352">
        <v>10</v>
      </c>
      <c r="L8" s="368">
        <v>9</v>
      </c>
      <c r="M8" s="384">
        <v>10</v>
      </c>
      <c r="N8" s="222">
        <v>11</v>
      </c>
      <c r="O8" s="223">
        <v>12</v>
      </c>
      <c r="P8" s="428">
        <v>15</v>
      </c>
      <c r="Q8" s="429">
        <v>16</v>
      </c>
      <c r="R8" s="466">
        <v>9</v>
      </c>
      <c r="S8" s="467">
        <v>10</v>
      </c>
      <c r="T8" s="482">
        <v>11</v>
      </c>
      <c r="U8" s="483">
        <v>12</v>
      </c>
      <c r="V8" s="404">
        <v>9</v>
      </c>
      <c r="W8" s="397">
        <v>10</v>
      </c>
      <c r="X8" s="375">
        <v>15</v>
      </c>
      <c r="Y8" s="376">
        <v>16</v>
      </c>
    </row>
    <row r="9" spans="1:25" x14ac:dyDescent="0.2">
      <c r="A9" s="345">
        <v>1</v>
      </c>
      <c r="B9" s="982" t="s">
        <v>29</v>
      </c>
      <c r="C9" s="983"/>
      <c r="D9" s="136" t="s">
        <v>30</v>
      </c>
      <c r="E9" s="132">
        <v>94250</v>
      </c>
      <c r="F9" s="499">
        <v>455.8</v>
      </c>
      <c r="G9" s="500">
        <f>$E9*F9</f>
        <v>42959150</v>
      </c>
      <c r="H9" s="224">
        <v>179</v>
      </c>
      <c r="I9" s="225">
        <f>H9*$E9</f>
        <v>16870750</v>
      </c>
      <c r="J9" s="353">
        <v>179</v>
      </c>
      <c r="K9" s="354">
        <f>$E9*J9</f>
        <v>16870750</v>
      </c>
      <c r="L9" s="385">
        <f>J9-H9</f>
        <v>0</v>
      </c>
      <c r="M9" s="386">
        <f>L9*$E9</f>
        <v>0</v>
      </c>
      <c r="N9" s="226">
        <v>154</v>
      </c>
      <c r="O9" s="227">
        <v>14514500</v>
      </c>
      <c r="P9" s="430">
        <v>154</v>
      </c>
      <c r="Q9" s="431">
        <f>P9*$E9</f>
        <v>14514500</v>
      </c>
      <c r="R9" s="458">
        <v>154</v>
      </c>
      <c r="S9" s="468">
        <v>14514500</v>
      </c>
      <c r="T9" s="336">
        <v>0</v>
      </c>
      <c r="U9" s="484">
        <v>0</v>
      </c>
      <c r="V9" s="405">
        <v>122.8</v>
      </c>
      <c r="W9" s="406">
        <v>11573900</v>
      </c>
      <c r="X9" s="260">
        <v>122.80000000000001</v>
      </c>
      <c r="Y9" s="261">
        <v>11573900.000000002</v>
      </c>
    </row>
    <row r="10" spans="1:25" ht="13.5" thickBot="1" x14ac:dyDescent="0.25">
      <c r="A10" s="130">
        <v>2</v>
      </c>
      <c r="B10" s="974" t="s">
        <v>31</v>
      </c>
      <c r="C10" s="975"/>
      <c r="D10" s="346" t="s">
        <v>30</v>
      </c>
      <c r="E10" s="133">
        <v>20000</v>
      </c>
      <c r="F10" s="501">
        <v>572</v>
      </c>
      <c r="G10" s="502">
        <f>$E10*F10</f>
        <v>11440000</v>
      </c>
      <c r="H10" s="230">
        <v>160</v>
      </c>
      <c r="I10" s="231">
        <f>H10*$E10</f>
        <v>3200000</v>
      </c>
      <c r="J10" s="353">
        <v>160</v>
      </c>
      <c r="K10" s="355">
        <f>$E10*J10</f>
        <v>3200000</v>
      </c>
      <c r="L10" s="341">
        <f>J10-H10</f>
        <v>0</v>
      </c>
      <c r="M10" s="387">
        <f>L10*$E10</f>
        <v>0</v>
      </c>
      <c r="N10" s="232">
        <v>412</v>
      </c>
      <c r="O10" s="233">
        <v>8240000</v>
      </c>
      <c r="P10" s="432">
        <v>412</v>
      </c>
      <c r="Q10" s="433">
        <f>P10*$E10</f>
        <v>8240000</v>
      </c>
      <c r="R10" s="463">
        <v>412</v>
      </c>
      <c r="S10" s="469">
        <v>8240000</v>
      </c>
      <c r="T10" s="485">
        <v>0</v>
      </c>
      <c r="U10" s="486">
        <v>0</v>
      </c>
      <c r="V10" s="407"/>
      <c r="W10" s="408">
        <v>0</v>
      </c>
      <c r="X10" s="262">
        <v>0</v>
      </c>
      <c r="Y10" s="290">
        <v>0</v>
      </c>
    </row>
    <row r="11" spans="1:25" ht="13.5" thickBot="1" x14ac:dyDescent="0.25">
      <c r="A11" s="236">
        <v>3</v>
      </c>
      <c r="B11" s="1107" t="s">
        <v>35</v>
      </c>
      <c r="C11" s="1108"/>
      <c r="D11" s="237"/>
      <c r="E11" s="238"/>
      <c r="F11" s="503"/>
      <c r="G11" s="401">
        <f>G10</f>
        <v>11440000</v>
      </c>
      <c r="H11" s="239"/>
      <c r="I11" s="240">
        <f>I10</f>
        <v>3200000</v>
      </c>
      <c r="J11" s="356"/>
      <c r="K11" s="333">
        <f>SUM(K9:K10)</f>
        <v>20070750</v>
      </c>
      <c r="L11" s="388"/>
      <c r="M11" s="369">
        <f>SUM(M9:M10)</f>
        <v>0</v>
      </c>
      <c r="N11" s="241"/>
      <c r="O11" s="242">
        <v>22754500</v>
      </c>
      <c r="P11" s="434"/>
      <c r="Q11" s="435">
        <f t="shared" ref="Q11" si="0">SUM(Q9:Q10)</f>
        <v>22754500</v>
      </c>
      <c r="R11" s="327">
        <v>0</v>
      </c>
      <c r="S11" s="470">
        <v>22754500</v>
      </c>
      <c r="T11" s="329">
        <v>0</v>
      </c>
      <c r="U11" s="487">
        <v>0</v>
      </c>
      <c r="V11" s="409"/>
      <c r="W11" s="410">
        <v>0</v>
      </c>
      <c r="X11" s="423">
        <v>0</v>
      </c>
      <c r="Y11" s="380">
        <v>11573900.000000002</v>
      </c>
    </row>
    <row r="12" spans="1:25" ht="25.5" customHeight="1" x14ac:dyDescent="0.2">
      <c r="A12" s="345">
        <v>4</v>
      </c>
      <c r="B12" s="982" t="s">
        <v>36</v>
      </c>
      <c r="C12" s="983"/>
      <c r="D12" s="136" t="s">
        <v>37</v>
      </c>
      <c r="E12" s="132">
        <v>200000</v>
      </c>
      <c r="F12" s="499">
        <v>58</v>
      </c>
      <c r="G12" s="500">
        <f>$E12*F12</f>
        <v>11600000</v>
      </c>
      <c r="H12" s="224">
        <v>18</v>
      </c>
      <c r="I12" s="225">
        <f t="shared" ref="I12" si="1">H12*E12</f>
        <v>3600000</v>
      </c>
      <c r="J12" s="353">
        <v>10</v>
      </c>
      <c r="K12" s="357">
        <f>$E12*J12</f>
        <v>2000000</v>
      </c>
      <c r="L12" s="385">
        <f>J12-H12</f>
        <v>-8</v>
      </c>
      <c r="M12" s="386">
        <f>L12*$E12</f>
        <v>-1600000</v>
      </c>
      <c r="N12" s="226">
        <v>40</v>
      </c>
      <c r="O12" s="227">
        <v>8000000</v>
      </c>
      <c r="P12" s="430">
        <v>240</v>
      </c>
      <c r="Q12" s="431">
        <f>P12*$E12</f>
        <v>48000000</v>
      </c>
      <c r="R12" s="462">
        <v>240</v>
      </c>
      <c r="S12" s="471">
        <v>48000000</v>
      </c>
      <c r="T12" s="488">
        <v>0</v>
      </c>
      <c r="U12" s="489">
        <v>0</v>
      </c>
      <c r="V12" s="405"/>
      <c r="W12" s="406">
        <v>0</v>
      </c>
      <c r="X12" s="260"/>
      <c r="Y12" s="261">
        <v>0</v>
      </c>
    </row>
    <row r="13" spans="1:25" x14ac:dyDescent="0.2">
      <c r="A13" s="131">
        <v>5</v>
      </c>
      <c r="B13" s="962" t="s">
        <v>38</v>
      </c>
      <c r="C13" s="963"/>
      <c r="D13" s="137" t="s">
        <v>9</v>
      </c>
      <c r="E13" s="243">
        <v>240000</v>
      </c>
      <c r="F13" s="504">
        <v>1000</v>
      </c>
      <c r="G13" s="400">
        <f>$E13*F13</f>
        <v>240000000</v>
      </c>
      <c r="H13" s="244">
        <v>0</v>
      </c>
      <c r="I13" s="245">
        <f>H13*$E13</f>
        <v>0</v>
      </c>
      <c r="J13" s="353">
        <v>0</v>
      </c>
      <c r="K13" s="357">
        <f>$E13*J13</f>
        <v>0</v>
      </c>
      <c r="L13" s="385">
        <f>J13-H13</f>
        <v>0</v>
      </c>
      <c r="M13" s="386">
        <f>L13*$E13</f>
        <v>0</v>
      </c>
      <c r="N13" s="246">
        <v>1000</v>
      </c>
      <c r="O13" s="247">
        <v>240000000</v>
      </c>
      <c r="P13" s="436">
        <v>500</v>
      </c>
      <c r="Q13" s="437">
        <f>P13*$E13</f>
        <v>120000000</v>
      </c>
      <c r="R13" s="461">
        <v>500</v>
      </c>
      <c r="S13" s="472">
        <v>120000000</v>
      </c>
      <c r="T13" s="490">
        <v>0</v>
      </c>
      <c r="U13" s="491">
        <v>0</v>
      </c>
      <c r="V13" s="411">
        <v>0</v>
      </c>
      <c r="W13" s="412">
        <v>0</v>
      </c>
      <c r="X13" s="248"/>
      <c r="Y13" s="249">
        <v>0</v>
      </c>
    </row>
    <row r="14" spans="1:25" x14ac:dyDescent="0.2">
      <c r="A14" s="345">
        <v>6</v>
      </c>
      <c r="B14" s="962" t="s">
        <v>39</v>
      </c>
      <c r="C14" s="963"/>
      <c r="D14" s="137" t="s">
        <v>40</v>
      </c>
      <c r="E14" s="134">
        <v>35000</v>
      </c>
      <c r="F14" s="505">
        <v>738</v>
      </c>
      <c r="G14" s="400">
        <f>$E14*F14</f>
        <v>25830000</v>
      </c>
      <c r="H14" s="244">
        <v>251</v>
      </c>
      <c r="I14" s="245">
        <f>H14*$E14</f>
        <v>8785000</v>
      </c>
      <c r="J14" s="353">
        <v>0</v>
      </c>
      <c r="K14" s="357">
        <f>$E14*J14</f>
        <v>0</v>
      </c>
      <c r="L14" s="385">
        <f>J14-H14</f>
        <v>-251</v>
      </c>
      <c r="M14" s="386">
        <f>L14*$E14</f>
        <v>-8785000</v>
      </c>
      <c r="N14" s="246">
        <v>487</v>
      </c>
      <c r="O14" s="247">
        <v>17045000</v>
      </c>
      <c r="P14" s="436">
        <v>738</v>
      </c>
      <c r="Q14" s="437">
        <f>P14*$E14</f>
        <v>25830000</v>
      </c>
      <c r="R14" s="461">
        <v>0</v>
      </c>
      <c r="S14" s="472">
        <v>0</v>
      </c>
      <c r="T14" s="490">
        <v>-738</v>
      </c>
      <c r="U14" s="491">
        <v>-25830000</v>
      </c>
      <c r="V14" s="411"/>
      <c r="W14" s="412">
        <v>0</v>
      </c>
      <c r="X14" s="248">
        <v>738</v>
      </c>
      <c r="Y14" s="249">
        <v>25830000</v>
      </c>
    </row>
    <row r="15" spans="1:25" ht="13.5" thickBot="1" x14ac:dyDescent="0.25">
      <c r="A15" s="344">
        <v>7</v>
      </c>
      <c r="B15" s="974" t="s">
        <v>41</v>
      </c>
      <c r="C15" s="975"/>
      <c r="D15" s="346" t="s">
        <v>40</v>
      </c>
      <c r="E15" s="133">
        <v>55000</v>
      </c>
      <c r="F15" s="501">
        <v>738</v>
      </c>
      <c r="G15" s="502">
        <f>$E15*F15</f>
        <v>40590000</v>
      </c>
      <c r="H15" s="230">
        <v>251</v>
      </c>
      <c r="I15" s="231">
        <f>H15*$E15</f>
        <v>13805000</v>
      </c>
      <c r="J15" s="353">
        <v>0</v>
      </c>
      <c r="K15" s="357">
        <f>$E15*J15</f>
        <v>0</v>
      </c>
      <c r="L15" s="341">
        <f>J15-H15</f>
        <v>-251</v>
      </c>
      <c r="M15" s="386">
        <f>L15*$E15</f>
        <v>-13805000</v>
      </c>
      <c r="N15" s="232">
        <v>487</v>
      </c>
      <c r="O15" s="233">
        <v>26785000</v>
      </c>
      <c r="P15" s="436">
        <v>738</v>
      </c>
      <c r="Q15" s="433">
        <f>P15*$E15</f>
        <v>40590000</v>
      </c>
      <c r="R15" s="463">
        <v>738</v>
      </c>
      <c r="S15" s="469">
        <v>40590000</v>
      </c>
      <c r="T15" s="485">
        <v>0</v>
      </c>
      <c r="U15" s="486">
        <v>0</v>
      </c>
      <c r="V15" s="407"/>
      <c r="W15" s="408">
        <v>0</v>
      </c>
      <c r="X15" s="262">
        <v>251</v>
      </c>
      <c r="Y15" s="290">
        <v>13805000</v>
      </c>
    </row>
    <row r="16" spans="1:25" ht="13.5" thickBot="1" x14ac:dyDescent="0.25">
      <c r="A16" s="236">
        <v>8</v>
      </c>
      <c r="B16" s="1095" t="s">
        <v>42</v>
      </c>
      <c r="C16" s="1096"/>
      <c r="D16" s="250"/>
      <c r="E16" s="251"/>
      <c r="F16" s="506"/>
      <c r="G16" s="507">
        <f>SUM(G12:G15)</f>
        <v>318020000</v>
      </c>
      <c r="H16" s="252"/>
      <c r="I16" s="253">
        <f>SUM(I12:I15)</f>
        <v>26190000</v>
      </c>
      <c r="J16" s="358"/>
      <c r="K16" s="359">
        <f>SUM(K12:K15)</f>
        <v>2000000</v>
      </c>
      <c r="L16" s="389"/>
      <c r="M16" s="390">
        <f>SUM(M12:M15)</f>
        <v>-24190000</v>
      </c>
      <c r="N16" s="254"/>
      <c r="O16" s="255">
        <v>291830000</v>
      </c>
      <c r="P16" s="434"/>
      <c r="Q16" s="438">
        <f t="shared" ref="Q16" si="2">SUM(Q12:Q15)</f>
        <v>234420000</v>
      </c>
      <c r="R16" s="327">
        <v>0</v>
      </c>
      <c r="S16" s="328">
        <v>208590000</v>
      </c>
      <c r="T16" s="329">
        <v>0</v>
      </c>
      <c r="U16" s="334">
        <v>-25830000</v>
      </c>
      <c r="V16" s="409"/>
      <c r="W16" s="410">
        <v>0</v>
      </c>
      <c r="X16" s="423">
        <v>0</v>
      </c>
      <c r="Y16" s="380">
        <v>39635000</v>
      </c>
    </row>
    <row r="17" spans="1:25" ht="17.25" customHeight="1" x14ac:dyDescent="0.2">
      <c r="A17" s="1089">
        <v>9</v>
      </c>
      <c r="B17" s="1077" t="s">
        <v>127</v>
      </c>
      <c r="C17" s="256" t="s">
        <v>65</v>
      </c>
      <c r="D17" s="1092" t="s">
        <v>10</v>
      </c>
      <c r="E17" s="1093">
        <v>22600</v>
      </c>
      <c r="F17" s="508">
        <v>700</v>
      </c>
      <c r="G17" s="1094">
        <f>$E17*(F17+F18+F19+F20)</f>
        <v>21696000</v>
      </c>
      <c r="H17" s="1073">
        <v>355</v>
      </c>
      <c r="I17" s="1063">
        <f>H17*$E17</f>
        <v>8023000</v>
      </c>
      <c r="J17" s="1064">
        <v>149</v>
      </c>
      <c r="K17" s="1065">
        <f>$E17*J17</f>
        <v>3367400</v>
      </c>
      <c r="L17" s="1066">
        <f>J17-H17</f>
        <v>-206</v>
      </c>
      <c r="M17" s="1069">
        <f>L17*$E17</f>
        <v>-4655600</v>
      </c>
      <c r="N17" s="1072">
        <v>605</v>
      </c>
      <c r="O17" s="1056">
        <v>13673000</v>
      </c>
      <c r="P17" s="439">
        <v>554</v>
      </c>
      <c r="Q17" s="440">
        <f>P17*$E$17</f>
        <v>12520400</v>
      </c>
      <c r="R17" s="462">
        <v>554</v>
      </c>
      <c r="S17" s="462">
        <v>12520400</v>
      </c>
      <c r="T17" s="488">
        <v>0</v>
      </c>
      <c r="U17" s="489">
        <v>0</v>
      </c>
      <c r="V17" s="405"/>
      <c r="W17" s="406">
        <v>0</v>
      </c>
      <c r="X17" s="260"/>
      <c r="Y17" s="261">
        <v>0</v>
      </c>
    </row>
    <row r="18" spans="1:25" x14ac:dyDescent="0.2">
      <c r="A18" s="1090"/>
      <c r="B18" s="1078"/>
      <c r="C18" s="257" t="s">
        <v>128</v>
      </c>
      <c r="D18" s="1081"/>
      <c r="E18" s="1084"/>
      <c r="F18" s="509">
        <v>90</v>
      </c>
      <c r="G18" s="1061"/>
      <c r="H18" s="1035"/>
      <c r="I18" s="1038"/>
      <c r="J18" s="1041"/>
      <c r="K18" s="1044"/>
      <c r="L18" s="1067"/>
      <c r="M18" s="1070"/>
      <c r="N18" s="1051"/>
      <c r="O18" s="1054"/>
      <c r="P18" s="441">
        <v>90</v>
      </c>
      <c r="Q18" s="442">
        <f t="shared" ref="Q18:Q20" si="3">P18*$E$17</f>
        <v>2034000</v>
      </c>
      <c r="R18" s="461">
        <v>12</v>
      </c>
      <c r="S18" s="461">
        <v>271200</v>
      </c>
      <c r="T18" s="490">
        <v>-78</v>
      </c>
      <c r="U18" s="491">
        <v>-1762800</v>
      </c>
      <c r="V18" s="411">
        <v>0</v>
      </c>
      <c r="W18" s="412">
        <v>0</v>
      </c>
      <c r="X18" s="248"/>
      <c r="Y18" s="249">
        <v>0</v>
      </c>
    </row>
    <row r="19" spans="1:25" x14ac:dyDescent="0.2">
      <c r="A19" s="1090"/>
      <c r="B19" s="1078"/>
      <c r="C19" s="258" t="s">
        <v>129</v>
      </c>
      <c r="D19" s="1081"/>
      <c r="E19" s="1084"/>
      <c r="F19" s="509">
        <v>120</v>
      </c>
      <c r="G19" s="1061"/>
      <c r="H19" s="1035"/>
      <c r="I19" s="1038"/>
      <c r="J19" s="1041"/>
      <c r="K19" s="1044"/>
      <c r="L19" s="1067"/>
      <c r="M19" s="1070"/>
      <c r="N19" s="1051"/>
      <c r="O19" s="1054"/>
      <c r="P19" s="441">
        <v>117</v>
      </c>
      <c r="Q19" s="442">
        <f t="shared" si="3"/>
        <v>2644200</v>
      </c>
      <c r="R19" s="461">
        <v>41</v>
      </c>
      <c r="S19" s="461">
        <v>926600</v>
      </c>
      <c r="T19" s="490">
        <v>-76</v>
      </c>
      <c r="U19" s="491">
        <v>-1717600</v>
      </c>
      <c r="V19" s="411"/>
      <c r="W19" s="412">
        <v>0</v>
      </c>
      <c r="X19" s="248"/>
      <c r="Y19" s="249">
        <v>0</v>
      </c>
    </row>
    <row r="20" spans="1:25" ht="13.5" thickBot="1" x14ac:dyDescent="0.25">
      <c r="A20" s="1091"/>
      <c r="B20" s="1079"/>
      <c r="C20" s="259" t="s">
        <v>130</v>
      </c>
      <c r="D20" s="1082"/>
      <c r="E20" s="1085"/>
      <c r="F20" s="510">
        <v>50</v>
      </c>
      <c r="G20" s="1062"/>
      <c r="H20" s="1036"/>
      <c r="I20" s="1039"/>
      <c r="J20" s="1042"/>
      <c r="K20" s="1045"/>
      <c r="L20" s="1068"/>
      <c r="M20" s="1071"/>
      <c r="N20" s="1052"/>
      <c r="O20" s="1055"/>
      <c r="P20" s="443">
        <v>50</v>
      </c>
      <c r="Q20" s="444">
        <f t="shared" si="3"/>
        <v>1130000</v>
      </c>
      <c r="R20" s="463">
        <v>30</v>
      </c>
      <c r="S20" s="463">
        <v>678000</v>
      </c>
      <c r="T20" s="485">
        <v>-20</v>
      </c>
      <c r="U20" s="486">
        <v>-452000</v>
      </c>
      <c r="V20" s="407"/>
      <c r="W20" s="408">
        <v>0</v>
      </c>
      <c r="X20" s="262"/>
      <c r="Y20" s="290">
        <v>0</v>
      </c>
    </row>
    <row r="21" spans="1:25" x14ac:dyDescent="0.2">
      <c r="A21" s="131">
        <v>10</v>
      </c>
      <c r="B21" s="1057" t="s">
        <v>131</v>
      </c>
      <c r="C21" s="1058"/>
      <c r="D21" s="136" t="s">
        <v>44</v>
      </c>
      <c r="E21" s="132">
        <v>36500</v>
      </c>
      <c r="F21" s="511">
        <v>150</v>
      </c>
      <c r="G21" s="500">
        <f>$E21*F21</f>
        <v>5475000</v>
      </c>
      <c r="H21" s="224">
        <v>50</v>
      </c>
      <c r="I21" s="225">
        <f>H21*$E21</f>
        <v>1825000</v>
      </c>
      <c r="J21" s="353">
        <v>50</v>
      </c>
      <c r="K21" s="354">
        <f>$E21*J21</f>
        <v>1825000</v>
      </c>
      <c r="L21" s="385">
        <f>J21-H21</f>
        <v>0</v>
      </c>
      <c r="M21" s="386">
        <f>L21*$E21</f>
        <v>0</v>
      </c>
      <c r="N21" s="226">
        <v>100</v>
      </c>
      <c r="O21" s="227">
        <v>3650000</v>
      </c>
      <c r="P21" s="445">
        <v>100</v>
      </c>
      <c r="Q21" s="446">
        <f>P21*$E21</f>
        <v>3650000</v>
      </c>
      <c r="R21" s="458">
        <v>100</v>
      </c>
      <c r="S21" s="458">
        <v>3650000</v>
      </c>
      <c r="T21" s="336">
        <v>0</v>
      </c>
      <c r="U21" s="484">
        <v>0</v>
      </c>
      <c r="V21" s="413"/>
      <c r="W21" s="414">
        <v>0</v>
      </c>
      <c r="X21" s="228"/>
      <c r="Y21" s="229">
        <v>0</v>
      </c>
    </row>
    <row r="22" spans="1:25" x14ac:dyDescent="0.2">
      <c r="A22" s="345">
        <v>11</v>
      </c>
      <c r="B22" s="962" t="s">
        <v>45</v>
      </c>
      <c r="C22" s="963"/>
      <c r="D22" s="137" t="s">
        <v>44</v>
      </c>
      <c r="E22" s="134">
        <v>6000</v>
      </c>
      <c r="F22" s="504">
        <v>350</v>
      </c>
      <c r="G22" s="400">
        <f>$E22*F22</f>
        <v>2100000</v>
      </c>
      <c r="H22" s="244">
        <v>100</v>
      </c>
      <c r="I22" s="245">
        <f>H22*$E22</f>
        <v>600000</v>
      </c>
      <c r="J22" s="353">
        <v>18</v>
      </c>
      <c r="K22" s="357">
        <f>$E22*J22</f>
        <v>108000</v>
      </c>
      <c r="L22" s="385">
        <f>J22-H22</f>
        <v>-82</v>
      </c>
      <c r="M22" s="386">
        <f>L22*$E22</f>
        <v>-492000</v>
      </c>
      <c r="N22" s="246">
        <v>250</v>
      </c>
      <c r="O22" s="247">
        <v>1500000</v>
      </c>
      <c r="P22" s="436">
        <v>332</v>
      </c>
      <c r="Q22" s="437">
        <f>P22*$E22</f>
        <v>1992000</v>
      </c>
      <c r="R22" s="461">
        <v>312</v>
      </c>
      <c r="S22" s="461">
        <v>1872000</v>
      </c>
      <c r="T22" s="490">
        <v>-20</v>
      </c>
      <c r="U22" s="491">
        <v>-120000</v>
      </c>
      <c r="V22" s="411"/>
      <c r="W22" s="412">
        <v>0</v>
      </c>
      <c r="X22" s="248"/>
      <c r="Y22" s="249">
        <v>0</v>
      </c>
    </row>
    <row r="23" spans="1:25" ht="13.5" thickBot="1" x14ac:dyDescent="0.25">
      <c r="A23" s="345">
        <v>12</v>
      </c>
      <c r="B23" s="1059" t="s">
        <v>46</v>
      </c>
      <c r="C23" s="963"/>
      <c r="D23" s="137" t="s">
        <v>44</v>
      </c>
      <c r="E23" s="134">
        <v>20500</v>
      </c>
      <c r="F23" s="504">
        <v>40</v>
      </c>
      <c r="G23" s="400">
        <f>$E23*F23</f>
        <v>820000</v>
      </c>
      <c r="H23" s="244">
        <v>20</v>
      </c>
      <c r="I23" s="245">
        <f>H23*$E23</f>
        <v>410000</v>
      </c>
      <c r="J23" s="353">
        <v>20</v>
      </c>
      <c r="K23" s="357">
        <f>$E23*J23</f>
        <v>410000</v>
      </c>
      <c r="L23" s="385">
        <f>J23-H23</f>
        <v>0</v>
      </c>
      <c r="M23" s="386">
        <f>L23*$E23</f>
        <v>0</v>
      </c>
      <c r="N23" s="246">
        <v>20</v>
      </c>
      <c r="O23" s="247">
        <v>410000</v>
      </c>
      <c r="P23" s="436">
        <v>33</v>
      </c>
      <c r="Q23" s="437">
        <f>P23*$E23</f>
        <v>676500</v>
      </c>
      <c r="R23" s="459">
        <v>43</v>
      </c>
      <c r="S23" s="459">
        <v>881500</v>
      </c>
      <c r="T23" s="330">
        <v>10</v>
      </c>
      <c r="U23" s="492">
        <v>205000</v>
      </c>
      <c r="V23" s="415"/>
      <c r="W23" s="416">
        <v>0</v>
      </c>
      <c r="X23" s="234"/>
      <c r="Y23" s="235">
        <v>0</v>
      </c>
    </row>
    <row r="24" spans="1:25" ht="14.25" customHeight="1" x14ac:dyDescent="0.2">
      <c r="A24" s="1074">
        <v>13</v>
      </c>
      <c r="B24" s="1077" t="s">
        <v>47</v>
      </c>
      <c r="C24" s="256" t="s">
        <v>65</v>
      </c>
      <c r="D24" s="1080" t="s">
        <v>44</v>
      </c>
      <c r="E24" s="1083">
        <v>10000</v>
      </c>
      <c r="F24" s="1086">
        <v>356</v>
      </c>
      <c r="G24" s="1060">
        <f>$E24*F24</f>
        <v>3560000</v>
      </c>
      <c r="H24" s="1034"/>
      <c r="I24" s="1037">
        <f>H27*$E24</f>
        <v>0</v>
      </c>
      <c r="J24" s="1040">
        <v>0</v>
      </c>
      <c r="K24" s="1043">
        <f>$E24*J24</f>
        <v>0</v>
      </c>
      <c r="L24" s="341"/>
      <c r="M24" s="387"/>
      <c r="N24" s="1050">
        <v>356</v>
      </c>
      <c r="O24" s="1053">
        <v>3560000</v>
      </c>
      <c r="P24" s="447">
        <v>20</v>
      </c>
      <c r="Q24" s="437">
        <f>P24*$E$24</f>
        <v>200000</v>
      </c>
      <c r="R24" s="462">
        <v>20</v>
      </c>
      <c r="S24" s="462">
        <v>200000</v>
      </c>
      <c r="T24" s="488">
        <v>0</v>
      </c>
      <c r="U24" s="489">
        <v>0</v>
      </c>
      <c r="V24" s="413"/>
      <c r="W24" s="414">
        <v>0</v>
      </c>
      <c r="X24" s="228"/>
      <c r="Y24" s="229">
        <v>0</v>
      </c>
    </row>
    <row r="25" spans="1:25" x14ac:dyDescent="0.2">
      <c r="A25" s="1075"/>
      <c r="B25" s="1078"/>
      <c r="C25" s="347" t="s">
        <v>45</v>
      </c>
      <c r="D25" s="1081"/>
      <c r="E25" s="1084"/>
      <c r="F25" s="1087"/>
      <c r="G25" s="1061"/>
      <c r="H25" s="1035"/>
      <c r="I25" s="1038"/>
      <c r="J25" s="1041"/>
      <c r="K25" s="1044"/>
      <c r="L25" s="341"/>
      <c r="M25" s="387"/>
      <c r="N25" s="1051"/>
      <c r="O25" s="1054"/>
      <c r="P25" s="447">
        <v>50</v>
      </c>
      <c r="Q25" s="437">
        <f>P25*$E$24</f>
        <v>500000</v>
      </c>
      <c r="R25" s="461">
        <v>50</v>
      </c>
      <c r="S25" s="461">
        <v>500000</v>
      </c>
      <c r="T25" s="490">
        <v>0</v>
      </c>
      <c r="U25" s="491">
        <v>0</v>
      </c>
      <c r="V25" s="411"/>
      <c r="W25" s="412">
        <v>0</v>
      </c>
      <c r="X25" s="248"/>
      <c r="Y25" s="249">
        <v>0</v>
      </c>
    </row>
    <row r="26" spans="1:25" x14ac:dyDescent="0.2">
      <c r="A26" s="1075"/>
      <c r="B26" s="1078"/>
      <c r="C26" s="347" t="s">
        <v>46</v>
      </c>
      <c r="D26" s="1081"/>
      <c r="E26" s="1084"/>
      <c r="F26" s="1087"/>
      <c r="G26" s="1061"/>
      <c r="H26" s="1035"/>
      <c r="I26" s="1038"/>
      <c r="J26" s="1041"/>
      <c r="K26" s="1044"/>
      <c r="L26" s="341"/>
      <c r="M26" s="387"/>
      <c r="N26" s="1051"/>
      <c r="O26" s="1054"/>
      <c r="P26" s="447">
        <v>3</v>
      </c>
      <c r="Q26" s="437">
        <f>P26*$E$24</f>
        <v>30000</v>
      </c>
      <c r="R26" s="461">
        <v>3</v>
      </c>
      <c r="S26" s="461">
        <v>30000</v>
      </c>
      <c r="T26" s="490">
        <v>0</v>
      </c>
      <c r="U26" s="491">
        <v>0</v>
      </c>
      <c r="V26" s="411"/>
      <c r="W26" s="412">
        <v>0</v>
      </c>
      <c r="X26" s="248"/>
      <c r="Y26" s="249">
        <v>0</v>
      </c>
    </row>
    <row r="27" spans="1:25" ht="13.5" customHeight="1" thickBot="1" x14ac:dyDescent="0.25">
      <c r="A27" s="1076"/>
      <c r="B27" s="1079"/>
      <c r="C27" s="259" t="s">
        <v>132</v>
      </c>
      <c r="D27" s="1082"/>
      <c r="E27" s="1085"/>
      <c r="F27" s="1088"/>
      <c r="G27" s="1062"/>
      <c r="H27" s="1036"/>
      <c r="I27" s="1039"/>
      <c r="J27" s="1042"/>
      <c r="K27" s="1045"/>
      <c r="L27" s="341">
        <f>J24-H27</f>
        <v>0</v>
      </c>
      <c r="M27" s="387">
        <f>L27*$E24</f>
        <v>0</v>
      </c>
      <c r="N27" s="1052"/>
      <c r="O27" s="1055"/>
      <c r="P27" s="432">
        <v>50</v>
      </c>
      <c r="Q27" s="437">
        <f>P27*$E$24</f>
        <v>500000</v>
      </c>
      <c r="R27" s="463">
        <v>50</v>
      </c>
      <c r="S27" s="463">
        <v>500000</v>
      </c>
      <c r="T27" s="485">
        <v>0</v>
      </c>
      <c r="U27" s="486">
        <v>0</v>
      </c>
      <c r="V27" s="415"/>
      <c r="W27" s="416">
        <v>0</v>
      </c>
      <c r="X27" s="234"/>
      <c r="Y27" s="235">
        <v>0</v>
      </c>
    </row>
    <row r="28" spans="1:25" x14ac:dyDescent="0.2">
      <c r="A28" s="263">
        <v>14</v>
      </c>
      <c r="B28" s="1046" t="s">
        <v>48</v>
      </c>
      <c r="C28" s="1047"/>
      <c r="D28" s="264"/>
      <c r="E28" s="265"/>
      <c r="F28" s="512">
        <f>SUM(F17:F26)</f>
        <v>1856</v>
      </c>
      <c r="G28" s="513">
        <f>SUM(G17:G26)</f>
        <v>33651000</v>
      </c>
      <c r="H28" s="266"/>
      <c r="I28" s="267">
        <f>SUM(I17:I26)</f>
        <v>10858000</v>
      </c>
      <c r="J28" s="360"/>
      <c r="K28" s="361">
        <f>SUM(K17:K26)</f>
        <v>5710400</v>
      </c>
      <c r="L28" s="372"/>
      <c r="M28" s="391">
        <f>SUM(M17:M27)</f>
        <v>-5147600</v>
      </c>
      <c r="N28" s="268"/>
      <c r="O28" s="269">
        <v>22793000</v>
      </c>
      <c r="P28" s="448">
        <v>1399</v>
      </c>
      <c r="Q28" s="449">
        <f>SUM(Q17:Q27)</f>
        <v>25877100</v>
      </c>
      <c r="R28" s="458">
        <v>0</v>
      </c>
      <c r="S28" s="473">
        <v>22029700</v>
      </c>
      <c r="T28" s="336">
        <v>0</v>
      </c>
      <c r="U28" s="493">
        <v>-3847400</v>
      </c>
      <c r="V28" s="413"/>
      <c r="W28" s="417">
        <v>0</v>
      </c>
      <c r="X28" s="228"/>
      <c r="Y28" s="378">
        <v>0</v>
      </c>
    </row>
    <row r="29" spans="1:25" s="8" customFormat="1" ht="13.5" thickBot="1" x14ac:dyDescent="0.25">
      <c r="A29" s="270">
        <v>15</v>
      </c>
      <c r="B29" s="1048" t="s">
        <v>49</v>
      </c>
      <c r="C29" s="1049"/>
      <c r="D29" s="271"/>
      <c r="E29" s="272"/>
      <c r="F29" s="514"/>
      <c r="G29" s="515">
        <f>G16+G28</f>
        <v>351671000</v>
      </c>
      <c r="H29" s="273"/>
      <c r="I29" s="274">
        <f>I16+I28</f>
        <v>37048000</v>
      </c>
      <c r="J29" s="362"/>
      <c r="K29" s="363">
        <f>K28+K16</f>
        <v>7710400</v>
      </c>
      <c r="L29" s="392"/>
      <c r="M29" s="393">
        <f>M28+M16</f>
        <v>-29337600</v>
      </c>
      <c r="N29" s="275"/>
      <c r="O29" s="276">
        <v>314623000</v>
      </c>
      <c r="P29" s="432"/>
      <c r="Q29" s="450">
        <f>Q28+Q16</f>
        <v>260297100</v>
      </c>
      <c r="R29" s="459">
        <v>0</v>
      </c>
      <c r="S29" s="474">
        <v>230619700</v>
      </c>
      <c r="T29" s="330">
        <v>0</v>
      </c>
      <c r="U29" s="331">
        <v>-29677400</v>
      </c>
      <c r="V29" s="415"/>
      <c r="W29" s="418">
        <v>0</v>
      </c>
      <c r="X29" s="234">
        <v>0</v>
      </c>
      <c r="Y29" s="379">
        <v>39635000</v>
      </c>
    </row>
    <row r="30" spans="1:25" x14ac:dyDescent="0.2">
      <c r="A30" s="345">
        <v>16</v>
      </c>
      <c r="B30" s="982" t="s">
        <v>64</v>
      </c>
      <c r="C30" s="983"/>
      <c r="D30" s="136" t="s">
        <v>10</v>
      </c>
      <c r="E30" s="132">
        <v>20000</v>
      </c>
      <c r="F30" s="499">
        <v>700</v>
      </c>
      <c r="G30" s="500">
        <f t="shared" ref="G30:G37" si="4">$E30*F30</f>
        <v>14000000</v>
      </c>
      <c r="H30" s="224">
        <v>200</v>
      </c>
      <c r="I30" s="225">
        <f t="shared" ref="I30:I37" si="5">H30*$E30</f>
        <v>4000000</v>
      </c>
      <c r="J30" s="353">
        <v>145</v>
      </c>
      <c r="K30" s="357">
        <f t="shared" ref="K30:K37" si="6">$E30*J30</f>
        <v>2900000</v>
      </c>
      <c r="L30" s="385">
        <f t="shared" ref="L30:L37" si="7">J30-H30</f>
        <v>-55</v>
      </c>
      <c r="M30" s="386">
        <f t="shared" ref="M30:M37" si="8">L30*$E30</f>
        <v>-1100000</v>
      </c>
      <c r="N30" s="226">
        <v>500</v>
      </c>
      <c r="O30" s="227">
        <v>10000000</v>
      </c>
      <c r="P30" s="430">
        <v>575</v>
      </c>
      <c r="Q30" s="431">
        <f t="shared" ref="Q30:Q37" si="9">P30*$E30</f>
        <v>11500000</v>
      </c>
      <c r="R30" s="462">
        <v>575</v>
      </c>
      <c r="S30" s="471">
        <v>11500000</v>
      </c>
      <c r="T30" s="488">
        <v>0</v>
      </c>
      <c r="U30" s="489">
        <v>0</v>
      </c>
      <c r="V30" s="405"/>
      <c r="W30" s="406">
        <v>0</v>
      </c>
      <c r="X30" s="260"/>
      <c r="Y30" s="261">
        <v>0</v>
      </c>
    </row>
    <row r="31" spans="1:25" x14ac:dyDescent="0.2">
      <c r="A31" s="345">
        <v>17</v>
      </c>
      <c r="B31" s="962" t="s">
        <v>65</v>
      </c>
      <c r="C31" s="963"/>
      <c r="D31" s="137"/>
      <c r="E31" s="134">
        <v>35000</v>
      </c>
      <c r="F31" s="505">
        <v>700</v>
      </c>
      <c r="G31" s="400">
        <f t="shared" si="4"/>
        <v>24500000</v>
      </c>
      <c r="H31" s="244">
        <v>200</v>
      </c>
      <c r="I31" s="245">
        <f t="shared" si="5"/>
        <v>7000000</v>
      </c>
      <c r="J31" s="353">
        <v>145</v>
      </c>
      <c r="K31" s="357">
        <f t="shared" si="6"/>
        <v>5075000</v>
      </c>
      <c r="L31" s="385">
        <f t="shared" si="7"/>
        <v>-55</v>
      </c>
      <c r="M31" s="386">
        <f t="shared" si="8"/>
        <v>-1925000</v>
      </c>
      <c r="N31" s="246">
        <v>500</v>
      </c>
      <c r="O31" s="247">
        <v>17500000</v>
      </c>
      <c r="P31" s="436">
        <v>575</v>
      </c>
      <c r="Q31" s="437">
        <f t="shared" si="9"/>
        <v>20125000</v>
      </c>
      <c r="R31" s="461">
        <v>575</v>
      </c>
      <c r="S31" s="472">
        <v>20125000</v>
      </c>
      <c r="T31" s="490">
        <v>0</v>
      </c>
      <c r="U31" s="491">
        <v>0</v>
      </c>
      <c r="V31" s="411"/>
      <c r="W31" s="412">
        <v>0</v>
      </c>
      <c r="X31" s="248"/>
      <c r="Y31" s="249">
        <v>0</v>
      </c>
    </row>
    <row r="32" spans="1:25" x14ac:dyDescent="0.2">
      <c r="A32" s="131">
        <v>18</v>
      </c>
      <c r="B32" s="962" t="s">
        <v>66</v>
      </c>
      <c r="C32" s="963"/>
      <c r="D32" s="137" t="s">
        <v>10</v>
      </c>
      <c r="E32" s="134">
        <v>30000</v>
      </c>
      <c r="F32" s="505">
        <v>90</v>
      </c>
      <c r="G32" s="400">
        <f t="shared" si="4"/>
        <v>2700000</v>
      </c>
      <c r="H32" s="244">
        <v>20</v>
      </c>
      <c r="I32" s="245">
        <f t="shared" si="5"/>
        <v>600000</v>
      </c>
      <c r="J32" s="353">
        <v>0</v>
      </c>
      <c r="K32" s="357">
        <f t="shared" si="6"/>
        <v>0</v>
      </c>
      <c r="L32" s="385">
        <f t="shared" si="7"/>
        <v>-20</v>
      </c>
      <c r="M32" s="386">
        <f t="shared" si="8"/>
        <v>-600000</v>
      </c>
      <c r="N32" s="246">
        <v>70</v>
      </c>
      <c r="O32" s="247">
        <v>2100000</v>
      </c>
      <c r="P32" s="436">
        <v>90</v>
      </c>
      <c r="Q32" s="437">
        <f t="shared" si="9"/>
        <v>2700000</v>
      </c>
      <c r="R32" s="461">
        <v>12</v>
      </c>
      <c r="S32" s="472">
        <v>360000</v>
      </c>
      <c r="T32" s="490">
        <v>-78</v>
      </c>
      <c r="U32" s="491">
        <v>-2340000</v>
      </c>
      <c r="V32" s="411"/>
      <c r="W32" s="412">
        <v>0</v>
      </c>
      <c r="X32" s="248"/>
      <c r="Y32" s="249">
        <v>0</v>
      </c>
    </row>
    <row r="33" spans="1:25" x14ac:dyDescent="0.2">
      <c r="A33" s="345">
        <v>19</v>
      </c>
      <c r="B33" s="962" t="s">
        <v>67</v>
      </c>
      <c r="C33" s="963"/>
      <c r="D33" s="137" t="s">
        <v>10</v>
      </c>
      <c r="E33" s="134">
        <v>180000</v>
      </c>
      <c r="F33" s="505">
        <v>400</v>
      </c>
      <c r="G33" s="400">
        <f t="shared" si="4"/>
        <v>72000000</v>
      </c>
      <c r="H33" s="244">
        <v>100</v>
      </c>
      <c r="I33" s="245">
        <f t="shared" si="5"/>
        <v>18000000</v>
      </c>
      <c r="J33" s="353">
        <v>26</v>
      </c>
      <c r="K33" s="357">
        <f t="shared" si="6"/>
        <v>4680000</v>
      </c>
      <c r="L33" s="385">
        <f t="shared" si="7"/>
        <v>-74</v>
      </c>
      <c r="M33" s="386">
        <f t="shared" si="8"/>
        <v>-13320000</v>
      </c>
      <c r="N33" s="246">
        <v>300</v>
      </c>
      <c r="O33" s="247">
        <v>54000000</v>
      </c>
      <c r="P33" s="436">
        <v>374</v>
      </c>
      <c r="Q33" s="437">
        <f t="shared" si="9"/>
        <v>67320000</v>
      </c>
      <c r="R33" s="461">
        <v>355</v>
      </c>
      <c r="S33" s="472">
        <v>63900000</v>
      </c>
      <c r="T33" s="490">
        <v>-19</v>
      </c>
      <c r="U33" s="491">
        <v>-3420000</v>
      </c>
      <c r="V33" s="411"/>
      <c r="W33" s="412">
        <v>0</v>
      </c>
      <c r="X33" s="248"/>
      <c r="Y33" s="249">
        <v>0</v>
      </c>
    </row>
    <row r="34" spans="1:25" x14ac:dyDescent="0.2">
      <c r="A34" s="345">
        <v>20</v>
      </c>
      <c r="B34" s="962" t="s">
        <v>68</v>
      </c>
      <c r="C34" s="963"/>
      <c r="D34" s="137" t="s">
        <v>10</v>
      </c>
      <c r="E34" s="134">
        <v>160000</v>
      </c>
      <c r="F34" s="505">
        <v>120</v>
      </c>
      <c r="G34" s="400">
        <f t="shared" si="4"/>
        <v>19200000</v>
      </c>
      <c r="H34" s="244">
        <v>50</v>
      </c>
      <c r="I34" s="245">
        <f t="shared" si="5"/>
        <v>8000000</v>
      </c>
      <c r="J34" s="353">
        <v>3</v>
      </c>
      <c r="K34" s="357">
        <f t="shared" si="6"/>
        <v>480000</v>
      </c>
      <c r="L34" s="385">
        <f t="shared" si="7"/>
        <v>-47</v>
      </c>
      <c r="M34" s="386">
        <f t="shared" si="8"/>
        <v>-7520000</v>
      </c>
      <c r="N34" s="246">
        <v>70</v>
      </c>
      <c r="O34" s="247">
        <v>11200000</v>
      </c>
      <c r="P34" s="436">
        <v>117</v>
      </c>
      <c r="Q34" s="437">
        <f t="shared" si="9"/>
        <v>18720000</v>
      </c>
      <c r="R34" s="461">
        <v>40</v>
      </c>
      <c r="S34" s="472">
        <v>6400000</v>
      </c>
      <c r="T34" s="490">
        <v>-77</v>
      </c>
      <c r="U34" s="491">
        <v>-12320000</v>
      </c>
      <c r="V34" s="411"/>
      <c r="W34" s="412"/>
      <c r="X34" s="248"/>
      <c r="Y34" s="249">
        <v>0</v>
      </c>
    </row>
    <row r="35" spans="1:25" x14ac:dyDescent="0.2">
      <c r="A35" s="345">
        <v>21</v>
      </c>
      <c r="B35" s="962" t="s">
        <v>69</v>
      </c>
      <c r="C35" s="963"/>
      <c r="D35" s="137" t="s">
        <v>10</v>
      </c>
      <c r="E35" s="135">
        <v>10000</v>
      </c>
      <c r="F35" s="516">
        <v>46</v>
      </c>
      <c r="G35" s="400">
        <f t="shared" si="4"/>
        <v>460000</v>
      </c>
      <c r="H35" s="277">
        <v>20</v>
      </c>
      <c r="I35" s="245">
        <f t="shared" si="5"/>
        <v>200000</v>
      </c>
      <c r="J35" s="353">
        <v>20</v>
      </c>
      <c r="K35" s="357">
        <f t="shared" si="6"/>
        <v>200000</v>
      </c>
      <c r="L35" s="385">
        <f t="shared" si="7"/>
        <v>0</v>
      </c>
      <c r="M35" s="386">
        <f t="shared" si="8"/>
        <v>0</v>
      </c>
      <c r="N35" s="246">
        <v>26</v>
      </c>
      <c r="O35" s="247">
        <v>260000</v>
      </c>
      <c r="P35" s="436">
        <v>36</v>
      </c>
      <c r="Q35" s="437">
        <f t="shared" si="9"/>
        <v>360000</v>
      </c>
      <c r="R35" s="461">
        <v>46</v>
      </c>
      <c r="S35" s="472">
        <v>460000</v>
      </c>
      <c r="T35" s="490">
        <v>10</v>
      </c>
      <c r="U35" s="491">
        <v>100000</v>
      </c>
      <c r="V35" s="411"/>
      <c r="W35" s="412"/>
      <c r="X35" s="248"/>
      <c r="Y35" s="249">
        <v>0</v>
      </c>
    </row>
    <row r="36" spans="1:25" x14ac:dyDescent="0.2">
      <c r="A36" s="345">
        <v>22</v>
      </c>
      <c r="B36" s="1024" t="s">
        <v>70</v>
      </c>
      <c r="C36" s="1025"/>
      <c r="D36" s="138" t="s">
        <v>10</v>
      </c>
      <c r="E36" s="134">
        <v>6500</v>
      </c>
      <c r="F36" s="505">
        <v>546</v>
      </c>
      <c r="G36" s="400">
        <f t="shared" si="4"/>
        <v>3549000</v>
      </c>
      <c r="H36" s="244">
        <v>215</v>
      </c>
      <c r="I36" s="245">
        <f t="shared" si="5"/>
        <v>1397500</v>
      </c>
      <c r="J36" s="353">
        <v>80</v>
      </c>
      <c r="K36" s="357">
        <f t="shared" si="6"/>
        <v>520000</v>
      </c>
      <c r="L36" s="385">
        <f t="shared" si="7"/>
        <v>-135</v>
      </c>
      <c r="M36" s="386">
        <f t="shared" si="8"/>
        <v>-877500</v>
      </c>
      <c r="N36" s="246">
        <v>331</v>
      </c>
      <c r="O36" s="247">
        <v>2151500</v>
      </c>
      <c r="P36" s="451">
        <v>201</v>
      </c>
      <c r="Q36" s="437">
        <f t="shared" si="9"/>
        <v>1306500</v>
      </c>
      <c r="R36" s="461">
        <v>201</v>
      </c>
      <c r="S36" s="472">
        <v>1306500</v>
      </c>
      <c r="T36" s="490">
        <v>0</v>
      </c>
      <c r="U36" s="491">
        <v>0</v>
      </c>
      <c r="V36" s="411"/>
      <c r="W36" s="412"/>
      <c r="X36" s="248"/>
      <c r="Y36" s="249">
        <v>0</v>
      </c>
    </row>
    <row r="37" spans="1:25" ht="13.5" thickBot="1" x14ac:dyDescent="0.25">
      <c r="A37" s="131">
        <v>23</v>
      </c>
      <c r="B37" s="968" t="s">
        <v>71</v>
      </c>
      <c r="C37" s="969"/>
      <c r="D37" s="139" t="s">
        <v>10</v>
      </c>
      <c r="E37" s="133">
        <v>20000</v>
      </c>
      <c r="F37" s="501">
        <v>1000</v>
      </c>
      <c r="G37" s="502">
        <f t="shared" si="4"/>
        <v>20000000</v>
      </c>
      <c r="H37" s="230">
        <v>400</v>
      </c>
      <c r="I37" s="231">
        <f t="shared" si="5"/>
        <v>8000000</v>
      </c>
      <c r="J37" s="353">
        <v>195</v>
      </c>
      <c r="K37" s="357">
        <f t="shared" si="6"/>
        <v>3900000</v>
      </c>
      <c r="L37" s="341">
        <f t="shared" si="7"/>
        <v>-205</v>
      </c>
      <c r="M37" s="386">
        <f t="shared" si="8"/>
        <v>-4100000</v>
      </c>
      <c r="N37" s="232">
        <v>600</v>
      </c>
      <c r="O37" s="233">
        <v>12000000</v>
      </c>
      <c r="P37" s="432">
        <v>805</v>
      </c>
      <c r="Q37" s="433">
        <f t="shared" si="9"/>
        <v>16100000</v>
      </c>
      <c r="R37" s="463">
        <v>805</v>
      </c>
      <c r="S37" s="469">
        <v>16100000</v>
      </c>
      <c r="T37" s="485">
        <v>0</v>
      </c>
      <c r="U37" s="486">
        <v>0</v>
      </c>
      <c r="V37" s="407"/>
      <c r="W37" s="408"/>
      <c r="X37" s="262"/>
      <c r="Y37" s="290">
        <v>0</v>
      </c>
    </row>
    <row r="38" spans="1:25" ht="13.5" thickBot="1" x14ac:dyDescent="0.25">
      <c r="A38" s="278">
        <v>24</v>
      </c>
      <c r="B38" s="1032" t="s">
        <v>72</v>
      </c>
      <c r="C38" s="1033"/>
      <c r="D38" s="279"/>
      <c r="E38" s="280">
        <f>F38+F58</f>
        <v>1856</v>
      </c>
      <c r="F38" s="517">
        <f>SUM(F31:F35)</f>
        <v>1356</v>
      </c>
      <c r="G38" s="401">
        <f>SUM(G30:G37)</f>
        <v>156409000</v>
      </c>
      <c r="H38" s="281"/>
      <c r="I38" s="240">
        <f>SUM(I30:I37)</f>
        <v>47197500</v>
      </c>
      <c r="J38" s="364"/>
      <c r="K38" s="340">
        <f>SUM(K30:K37)</f>
        <v>17755000</v>
      </c>
      <c r="L38" s="370"/>
      <c r="M38" s="369">
        <f t="shared" ref="M38" si="10">SUM(M30:M37)</f>
        <v>-29442500</v>
      </c>
      <c r="N38" s="241"/>
      <c r="O38" s="242">
        <v>109211500</v>
      </c>
      <c r="P38" s="452"/>
      <c r="Q38" s="453">
        <f t="shared" ref="Q38" si="11">SUM(Q30:Q37)</f>
        <v>138131500</v>
      </c>
      <c r="R38" s="327">
        <v>0</v>
      </c>
      <c r="S38" s="475">
        <v>120151500</v>
      </c>
      <c r="T38" s="329">
        <v>0</v>
      </c>
      <c r="U38" s="332">
        <v>-17980000</v>
      </c>
      <c r="V38" s="409"/>
      <c r="W38" s="410"/>
      <c r="X38" s="423"/>
      <c r="Y38" s="380">
        <v>0</v>
      </c>
    </row>
    <row r="39" spans="1:25" x14ac:dyDescent="0.2">
      <c r="A39" s="345">
        <v>25</v>
      </c>
      <c r="B39" s="982" t="s">
        <v>50</v>
      </c>
      <c r="C39" s="983"/>
      <c r="D39" s="136" t="s">
        <v>51</v>
      </c>
      <c r="E39" s="132">
        <v>4000</v>
      </c>
      <c r="F39" s="518">
        <f>15360000*59/100/1000</f>
        <v>9062.4</v>
      </c>
      <c r="G39" s="500">
        <f t="shared" ref="G39:G46" si="12">$E39*F39</f>
        <v>36249600</v>
      </c>
      <c r="H39" s="224">
        <f>F39/3</f>
        <v>3020.7999999999997</v>
      </c>
      <c r="I39" s="225">
        <f>H39*$E39</f>
        <v>12083199.999999998</v>
      </c>
      <c r="J39" s="353">
        <v>3021</v>
      </c>
      <c r="K39" s="354">
        <f t="shared" ref="K39:K46" si="13">$E39*J39</f>
        <v>12084000</v>
      </c>
      <c r="L39" s="394">
        <f t="shared" ref="L39:L46" si="14">J39-H39</f>
        <v>0.20000000000027285</v>
      </c>
      <c r="M39" s="386">
        <f t="shared" ref="M39:M46" si="15">L39*$E39</f>
        <v>800.00000000109139</v>
      </c>
      <c r="N39" s="226">
        <v>6041.6</v>
      </c>
      <c r="O39" s="227">
        <v>24166400</v>
      </c>
      <c r="P39" s="445">
        <v>6041</v>
      </c>
      <c r="Q39" s="446">
        <f t="shared" ref="Q39:Q46" si="16">P39*$E39</f>
        <v>24164000</v>
      </c>
      <c r="R39" s="462">
        <v>6041.0000000033333</v>
      </c>
      <c r="S39" s="471">
        <v>24164000.000013333</v>
      </c>
      <c r="T39" s="488">
        <v>3.333298081997782E-9</v>
      </c>
      <c r="U39" s="489"/>
      <c r="V39" s="405"/>
      <c r="W39" s="406"/>
      <c r="X39" s="260"/>
      <c r="Y39" s="261">
        <v>0</v>
      </c>
    </row>
    <row r="40" spans="1:25" x14ac:dyDescent="0.2">
      <c r="A40" s="131">
        <v>26</v>
      </c>
      <c r="B40" s="962" t="s">
        <v>52</v>
      </c>
      <c r="C40" s="963"/>
      <c r="D40" s="137" t="s">
        <v>53</v>
      </c>
      <c r="E40" s="134">
        <f>92811*0.1+92811</f>
        <v>102092.1</v>
      </c>
      <c r="F40" s="505">
        <v>270</v>
      </c>
      <c r="G40" s="400">
        <f t="shared" si="12"/>
        <v>27564867</v>
      </c>
      <c r="H40" s="244">
        <v>90</v>
      </c>
      <c r="I40" s="245">
        <f>H40*$E40</f>
        <v>9188289</v>
      </c>
      <c r="J40" s="353">
        <v>90</v>
      </c>
      <c r="K40" s="357">
        <f t="shared" si="13"/>
        <v>9188289</v>
      </c>
      <c r="L40" s="385">
        <f t="shared" si="14"/>
        <v>0</v>
      </c>
      <c r="M40" s="386">
        <f t="shared" si="15"/>
        <v>0</v>
      </c>
      <c r="N40" s="246">
        <v>90</v>
      </c>
      <c r="O40" s="247">
        <v>9188289</v>
      </c>
      <c r="P40" s="436">
        <v>90</v>
      </c>
      <c r="Q40" s="437">
        <f t="shared" si="16"/>
        <v>9188289</v>
      </c>
      <c r="R40" s="461">
        <v>90</v>
      </c>
      <c r="S40" s="472">
        <v>9188289</v>
      </c>
      <c r="T40" s="490">
        <v>0</v>
      </c>
      <c r="U40" s="491">
        <v>0</v>
      </c>
      <c r="V40" s="411">
        <v>90</v>
      </c>
      <c r="W40" s="412">
        <v>9188289</v>
      </c>
      <c r="X40" s="248">
        <v>90</v>
      </c>
      <c r="Y40" s="249">
        <v>9188289</v>
      </c>
    </row>
    <row r="41" spans="1:25" ht="38.25" customHeight="1" x14ac:dyDescent="0.2">
      <c r="A41" s="345">
        <v>27</v>
      </c>
      <c r="B41" s="964" t="s">
        <v>54</v>
      </c>
      <c r="C41" s="965"/>
      <c r="D41" s="137" t="s">
        <v>53</v>
      </c>
      <c r="E41" s="134">
        <f>92846*0.1+92846</f>
        <v>102130.6</v>
      </c>
      <c r="F41" s="505">
        <v>2101</v>
      </c>
      <c r="G41" s="400">
        <f t="shared" si="12"/>
        <v>214576390.60000002</v>
      </c>
      <c r="H41" s="244">
        <v>1201</v>
      </c>
      <c r="I41" s="245">
        <f>H41*$E41</f>
        <v>122658850.60000001</v>
      </c>
      <c r="J41" s="353">
        <v>1200.5</v>
      </c>
      <c r="K41" s="357">
        <f t="shared" si="13"/>
        <v>122607785.30000001</v>
      </c>
      <c r="L41" s="385">
        <f t="shared" si="14"/>
        <v>-0.5</v>
      </c>
      <c r="M41" s="386">
        <f t="shared" si="15"/>
        <v>-51065.3</v>
      </c>
      <c r="N41" s="246">
        <v>540</v>
      </c>
      <c r="O41" s="247">
        <v>55150524</v>
      </c>
      <c r="P41" s="436">
        <v>540.5</v>
      </c>
      <c r="Q41" s="437">
        <f t="shared" si="16"/>
        <v>55201589.300000004</v>
      </c>
      <c r="R41" s="461">
        <v>540.5</v>
      </c>
      <c r="S41" s="472">
        <v>55201589.300000004</v>
      </c>
      <c r="T41" s="490">
        <v>0</v>
      </c>
      <c r="U41" s="491">
        <v>0</v>
      </c>
      <c r="V41" s="411">
        <v>360</v>
      </c>
      <c r="W41" s="412">
        <v>36767016</v>
      </c>
      <c r="X41" s="248">
        <v>360</v>
      </c>
      <c r="Y41" s="249">
        <v>36767016</v>
      </c>
    </row>
    <row r="42" spans="1:25" x14ac:dyDescent="0.2">
      <c r="A42" s="131">
        <v>28</v>
      </c>
      <c r="B42" s="964" t="s">
        <v>55</v>
      </c>
      <c r="C42" s="965"/>
      <c r="D42" s="137" t="s">
        <v>33</v>
      </c>
      <c r="E42" s="134">
        <v>4000000</v>
      </c>
      <c r="F42" s="505">
        <v>41</v>
      </c>
      <c r="G42" s="400">
        <f t="shared" si="12"/>
        <v>164000000</v>
      </c>
      <c r="H42" s="244">
        <v>10</v>
      </c>
      <c r="I42" s="245">
        <f>H42*$E42</f>
        <v>40000000</v>
      </c>
      <c r="J42" s="353">
        <v>10</v>
      </c>
      <c r="K42" s="357">
        <f t="shared" si="13"/>
        <v>40000000</v>
      </c>
      <c r="L42" s="385">
        <f t="shared" si="14"/>
        <v>0</v>
      </c>
      <c r="M42" s="386">
        <f t="shared" si="15"/>
        <v>0</v>
      </c>
      <c r="N42" s="246">
        <v>20</v>
      </c>
      <c r="O42" s="247">
        <v>80000000</v>
      </c>
      <c r="P42" s="436">
        <v>20</v>
      </c>
      <c r="Q42" s="437">
        <f t="shared" si="16"/>
        <v>80000000</v>
      </c>
      <c r="R42" s="461">
        <v>20</v>
      </c>
      <c r="S42" s="472">
        <v>80000000</v>
      </c>
      <c r="T42" s="490">
        <v>0</v>
      </c>
      <c r="U42" s="491">
        <v>0</v>
      </c>
      <c r="V42" s="411">
        <v>11</v>
      </c>
      <c r="W42" s="412">
        <v>44000000</v>
      </c>
      <c r="X42" s="248">
        <v>11</v>
      </c>
      <c r="Y42" s="249">
        <v>44000000</v>
      </c>
    </row>
    <row r="43" spans="1:25" ht="27.75" customHeight="1" x14ac:dyDescent="0.2">
      <c r="A43" s="345">
        <v>29</v>
      </c>
      <c r="B43" s="966" t="s">
        <v>56</v>
      </c>
      <c r="C43" s="967"/>
      <c r="D43" s="137" t="s">
        <v>33</v>
      </c>
      <c r="E43" s="134">
        <v>4000000</v>
      </c>
      <c r="F43" s="505">
        <v>41</v>
      </c>
      <c r="G43" s="400">
        <f t="shared" si="12"/>
        <v>164000000</v>
      </c>
      <c r="H43" s="244"/>
      <c r="I43" s="245">
        <f>H43*$E43</f>
        <v>0</v>
      </c>
      <c r="J43" s="353">
        <v>1</v>
      </c>
      <c r="K43" s="357">
        <f t="shared" si="13"/>
        <v>4000000</v>
      </c>
      <c r="L43" s="385">
        <f t="shared" si="14"/>
        <v>1</v>
      </c>
      <c r="M43" s="386">
        <f t="shared" si="15"/>
        <v>4000000</v>
      </c>
      <c r="N43" s="246" t="s">
        <v>133</v>
      </c>
      <c r="O43" s="247">
        <v>0</v>
      </c>
      <c r="P43" s="436">
        <v>-1</v>
      </c>
      <c r="Q43" s="437">
        <f t="shared" si="16"/>
        <v>-4000000</v>
      </c>
      <c r="R43" s="461">
        <v>-1</v>
      </c>
      <c r="S43" s="472">
        <v>-4000000</v>
      </c>
      <c r="T43" s="490">
        <v>0</v>
      </c>
      <c r="U43" s="491">
        <v>0</v>
      </c>
      <c r="V43" s="411">
        <v>41</v>
      </c>
      <c r="W43" s="412">
        <v>164000000</v>
      </c>
      <c r="X43" s="248">
        <v>41</v>
      </c>
      <c r="Y43" s="249">
        <v>164000000</v>
      </c>
    </row>
    <row r="44" spans="1:25" ht="24" customHeight="1" x14ac:dyDescent="0.2">
      <c r="A44" s="345">
        <v>30</v>
      </c>
      <c r="B44" s="964" t="s">
        <v>57</v>
      </c>
      <c r="C44" s="965"/>
      <c r="D44" s="137" t="s">
        <v>53</v>
      </c>
      <c r="E44" s="134">
        <f>92846</f>
        <v>92846</v>
      </c>
      <c r="F44" s="505">
        <v>1017</v>
      </c>
      <c r="G44" s="400">
        <f t="shared" si="12"/>
        <v>94424382</v>
      </c>
      <c r="H44" s="244"/>
      <c r="I44" s="245"/>
      <c r="J44" s="353">
        <v>3</v>
      </c>
      <c r="K44" s="357">
        <f t="shared" si="13"/>
        <v>278538</v>
      </c>
      <c r="L44" s="385">
        <f t="shared" si="14"/>
        <v>3</v>
      </c>
      <c r="M44" s="386">
        <f t="shared" si="15"/>
        <v>278538</v>
      </c>
      <c r="N44" s="246" t="s">
        <v>133</v>
      </c>
      <c r="O44" s="247">
        <v>0</v>
      </c>
      <c r="P44" s="436">
        <v>-3</v>
      </c>
      <c r="Q44" s="437">
        <f t="shared" si="16"/>
        <v>-278538</v>
      </c>
      <c r="R44" s="461">
        <v>-3</v>
      </c>
      <c r="S44" s="472">
        <v>-278538</v>
      </c>
      <c r="T44" s="490">
        <v>0</v>
      </c>
      <c r="U44" s="491">
        <v>0</v>
      </c>
      <c r="V44" s="411">
        <v>1017</v>
      </c>
      <c r="W44" s="412">
        <v>94424382</v>
      </c>
      <c r="X44" s="248">
        <v>1017</v>
      </c>
      <c r="Y44" s="249">
        <v>94424382</v>
      </c>
    </row>
    <row r="45" spans="1:25" x14ac:dyDescent="0.2">
      <c r="A45" s="131">
        <v>31</v>
      </c>
      <c r="B45" s="966" t="s">
        <v>16</v>
      </c>
      <c r="C45" s="967"/>
      <c r="D45" s="137" t="s">
        <v>58</v>
      </c>
      <c r="E45" s="134">
        <f>93160.75*0.1+93160.75</f>
        <v>102476.825</v>
      </c>
      <c r="F45" s="519">
        <v>1017.6</v>
      </c>
      <c r="G45" s="400">
        <f t="shared" si="12"/>
        <v>104280417.12</v>
      </c>
      <c r="H45" s="244"/>
      <c r="I45" s="245">
        <f>H45*$E45</f>
        <v>0</v>
      </c>
      <c r="J45" s="353">
        <v>0</v>
      </c>
      <c r="K45" s="357">
        <f t="shared" si="13"/>
        <v>0</v>
      </c>
      <c r="L45" s="385">
        <f t="shared" si="14"/>
        <v>0</v>
      </c>
      <c r="M45" s="386">
        <f t="shared" si="15"/>
        <v>0</v>
      </c>
      <c r="N45" s="246" t="s">
        <v>133</v>
      </c>
      <c r="O45" s="247">
        <v>0</v>
      </c>
      <c r="P45" s="436">
        <v>0</v>
      </c>
      <c r="Q45" s="437">
        <f t="shared" si="16"/>
        <v>0</v>
      </c>
      <c r="R45" s="461">
        <v>0</v>
      </c>
      <c r="S45" s="472">
        <v>0</v>
      </c>
      <c r="T45" s="490">
        <v>0</v>
      </c>
      <c r="U45" s="491">
        <v>0</v>
      </c>
      <c r="V45" s="411">
        <v>1017.6</v>
      </c>
      <c r="W45" s="412">
        <v>104280417.12</v>
      </c>
      <c r="X45" s="248">
        <v>1017.6</v>
      </c>
      <c r="Y45" s="249">
        <v>104280417.12</v>
      </c>
    </row>
    <row r="46" spans="1:25" ht="13.5" thickBot="1" x14ac:dyDescent="0.25">
      <c r="A46" s="344">
        <v>32</v>
      </c>
      <c r="B46" s="968" t="s">
        <v>59</v>
      </c>
      <c r="C46" s="969"/>
      <c r="D46" s="139" t="s">
        <v>60</v>
      </c>
      <c r="E46" s="133">
        <f>123810*0.1+123810</f>
        <v>136191</v>
      </c>
      <c r="F46" s="501">
        <v>164</v>
      </c>
      <c r="G46" s="502">
        <f t="shared" si="12"/>
        <v>22335324</v>
      </c>
      <c r="H46" s="230">
        <v>0</v>
      </c>
      <c r="I46" s="231">
        <f>H46*$E46</f>
        <v>0</v>
      </c>
      <c r="J46" s="353">
        <v>0</v>
      </c>
      <c r="K46" s="357">
        <f t="shared" si="13"/>
        <v>0</v>
      </c>
      <c r="L46" s="341">
        <f t="shared" si="14"/>
        <v>0</v>
      </c>
      <c r="M46" s="386">
        <f t="shared" si="15"/>
        <v>0</v>
      </c>
      <c r="N46" s="246" t="s">
        <v>133</v>
      </c>
      <c r="O46" s="233">
        <v>0</v>
      </c>
      <c r="P46" s="436">
        <v>0</v>
      </c>
      <c r="Q46" s="437">
        <f t="shared" si="16"/>
        <v>0</v>
      </c>
      <c r="R46" s="463">
        <v>0</v>
      </c>
      <c r="S46" s="469">
        <v>0</v>
      </c>
      <c r="T46" s="485">
        <v>0</v>
      </c>
      <c r="U46" s="486">
        <v>0</v>
      </c>
      <c r="V46" s="407">
        <v>164</v>
      </c>
      <c r="W46" s="408">
        <v>22335324</v>
      </c>
      <c r="X46" s="262">
        <v>164</v>
      </c>
      <c r="Y46" s="290">
        <v>22335324</v>
      </c>
    </row>
    <row r="47" spans="1:25" ht="13.5" thickBot="1" x14ac:dyDescent="0.25">
      <c r="A47" s="282">
        <v>33</v>
      </c>
      <c r="B47" s="1022" t="s">
        <v>61</v>
      </c>
      <c r="C47" s="1023"/>
      <c r="D47" s="283"/>
      <c r="E47" s="284"/>
      <c r="F47" s="520"/>
      <c r="G47" s="401">
        <f>SUM(G39:G46)</f>
        <v>827430980.72000003</v>
      </c>
      <c r="H47" s="285"/>
      <c r="I47" s="240">
        <f>SUM(I39:I46)</f>
        <v>183930339.60000002</v>
      </c>
      <c r="J47" s="340"/>
      <c r="K47" s="340">
        <f t="shared" ref="K47:M47" si="17">SUM(K39:K46)</f>
        <v>188158612.30000001</v>
      </c>
      <c r="L47" s="370"/>
      <c r="M47" s="369">
        <f t="shared" si="17"/>
        <v>4228272.7000000011</v>
      </c>
      <c r="N47" s="241"/>
      <c r="O47" s="242">
        <v>168505213</v>
      </c>
      <c r="P47" s="447">
        <v>0</v>
      </c>
      <c r="Q47" s="454">
        <f t="shared" ref="Q47" si="18">SUM(Q39:Q46)</f>
        <v>164275340.30000001</v>
      </c>
      <c r="R47" s="327">
        <v>0</v>
      </c>
      <c r="S47" s="475">
        <v>164275340.30001333</v>
      </c>
      <c r="T47" s="329">
        <v>0</v>
      </c>
      <c r="U47" s="487">
        <v>0</v>
      </c>
      <c r="V47" s="409"/>
      <c r="W47" s="410">
        <v>474995428.12</v>
      </c>
      <c r="X47" s="423">
        <v>0</v>
      </c>
      <c r="Y47" s="380">
        <v>474995428.12</v>
      </c>
    </row>
    <row r="48" spans="1:25" x14ac:dyDescent="0.2">
      <c r="A48" s="345">
        <v>34</v>
      </c>
      <c r="B48" s="958" t="s">
        <v>13</v>
      </c>
      <c r="C48" s="959"/>
      <c r="D48" s="286" t="s">
        <v>3</v>
      </c>
      <c r="E48" s="287">
        <v>1200</v>
      </c>
      <c r="F48" s="521">
        <v>3090</v>
      </c>
      <c r="G48" s="500">
        <f>$E48*F48</f>
        <v>3708000</v>
      </c>
      <c r="H48" s="288"/>
      <c r="I48" s="225">
        <f>H48*$E48</f>
        <v>0</v>
      </c>
      <c r="J48" s="353">
        <v>0</v>
      </c>
      <c r="K48" s="357">
        <f>$E48*J48</f>
        <v>0</v>
      </c>
      <c r="L48" s="385">
        <f>J48-H48</f>
        <v>0</v>
      </c>
      <c r="M48" s="386">
        <f>L48*$E48</f>
        <v>0</v>
      </c>
      <c r="N48" s="226">
        <v>3090</v>
      </c>
      <c r="O48" s="227">
        <v>3708000</v>
      </c>
      <c r="P48" s="430">
        <v>4365</v>
      </c>
      <c r="Q48" s="431">
        <f>P48*$E48</f>
        <v>5238000</v>
      </c>
      <c r="R48" s="462">
        <v>4365</v>
      </c>
      <c r="S48" s="471">
        <v>5238000</v>
      </c>
      <c r="T48" s="488">
        <v>0</v>
      </c>
      <c r="U48" s="489">
        <v>0</v>
      </c>
      <c r="V48" s="405"/>
      <c r="W48" s="406">
        <v>0</v>
      </c>
      <c r="X48" s="260"/>
      <c r="Y48" s="261">
        <v>0</v>
      </c>
    </row>
    <row r="49" spans="1:25" x14ac:dyDescent="0.2">
      <c r="A49" s="345">
        <v>35</v>
      </c>
      <c r="B49" s="1024" t="s">
        <v>62</v>
      </c>
      <c r="C49" s="1025"/>
      <c r="D49" s="138" t="s">
        <v>3</v>
      </c>
      <c r="E49" s="134">
        <v>1515</v>
      </c>
      <c r="F49" s="505">
        <v>52802</v>
      </c>
      <c r="G49" s="400">
        <f>$E49*F49</f>
        <v>79995030</v>
      </c>
      <c r="H49" s="244">
        <v>22802</v>
      </c>
      <c r="I49" s="245">
        <f>H49*$E49</f>
        <v>34545030</v>
      </c>
      <c r="J49" s="353">
        <v>12998</v>
      </c>
      <c r="K49" s="357">
        <f>$E49*J49</f>
        <v>19691970</v>
      </c>
      <c r="L49" s="385">
        <f>J49-H49</f>
        <v>-9804</v>
      </c>
      <c r="M49" s="386">
        <f>L49*$E49</f>
        <v>-14853060</v>
      </c>
      <c r="N49" s="246">
        <v>30000</v>
      </c>
      <c r="O49" s="247">
        <v>45450000</v>
      </c>
      <c r="P49" s="436">
        <v>39804</v>
      </c>
      <c r="Q49" s="437">
        <f>P49*$E49</f>
        <v>60303060</v>
      </c>
      <c r="R49" s="461">
        <v>39804</v>
      </c>
      <c r="S49" s="472">
        <v>60303060</v>
      </c>
      <c r="T49" s="490">
        <v>0</v>
      </c>
      <c r="U49" s="491">
        <v>0</v>
      </c>
      <c r="V49" s="411"/>
      <c r="W49" s="412">
        <v>0</v>
      </c>
      <c r="X49" s="248"/>
      <c r="Y49" s="249">
        <v>0</v>
      </c>
    </row>
    <row r="50" spans="1:25" ht="13.5" thickBot="1" x14ac:dyDescent="0.25">
      <c r="A50" s="130">
        <v>36</v>
      </c>
      <c r="B50" s="968" t="s">
        <v>14</v>
      </c>
      <c r="C50" s="969"/>
      <c r="D50" s="139" t="s">
        <v>40</v>
      </c>
      <c r="E50" s="133">
        <v>1560</v>
      </c>
      <c r="F50" s="501">
        <v>3090</v>
      </c>
      <c r="G50" s="502">
        <f>$E50*F50</f>
        <v>4820400</v>
      </c>
      <c r="H50" s="289"/>
      <c r="I50" s="231">
        <f>H50*$E50</f>
        <v>0</v>
      </c>
      <c r="J50" s="353">
        <v>1700</v>
      </c>
      <c r="K50" s="357">
        <f>$E50*J50</f>
        <v>2652000</v>
      </c>
      <c r="L50" s="385">
        <f>J50-H50</f>
        <v>1700</v>
      </c>
      <c r="M50" s="386">
        <f>L50*$E50</f>
        <v>2652000</v>
      </c>
      <c r="N50" s="232">
        <v>3090</v>
      </c>
      <c r="O50" s="233">
        <v>4820400</v>
      </c>
      <c r="P50" s="447">
        <v>39804</v>
      </c>
      <c r="Q50" s="455">
        <f>P50*$E50</f>
        <v>62094240</v>
      </c>
      <c r="R50" s="463">
        <v>39804</v>
      </c>
      <c r="S50" s="469">
        <v>62094240</v>
      </c>
      <c r="T50" s="485">
        <v>0</v>
      </c>
      <c r="U50" s="486">
        <v>0</v>
      </c>
      <c r="V50" s="407"/>
      <c r="W50" s="408">
        <v>0</v>
      </c>
      <c r="X50" s="262"/>
      <c r="Y50" s="290">
        <v>0</v>
      </c>
    </row>
    <row r="51" spans="1:25" ht="13.5" thickBot="1" x14ac:dyDescent="0.25">
      <c r="A51" s="282">
        <v>37</v>
      </c>
      <c r="B51" s="1026" t="s">
        <v>63</v>
      </c>
      <c r="C51" s="1027"/>
      <c r="D51" s="291"/>
      <c r="E51" s="284"/>
      <c r="F51" s="520"/>
      <c r="G51" s="401">
        <f>SUM(G48:G50)</f>
        <v>88523430</v>
      </c>
      <c r="H51" s="285"/>
      <c r="I51" s="240">
        <f>SUM(I48:I50)</f>
        <v>34545030</v>
      </c>
      <c r="J51" s="364"/>
      <c r="K51" s="365">
        <f>SUM(K48:K50)</f>
        <v>22343970</v>
      </c>
      <c r="L51" s="371">
        <f t="shared" ref="L51:M51" si="19">SUM(L48:L50)</f>
        <v>-8104</v>
      </c>
      <c r="M51" s="395">
        <f t="shared" si="19"/>
        <v>-12201060</v>
      </c>
      <c r="N51" s="292"/>
      <c r="O51" s="293">
        <v>53978400</v>
      </c>
      <c r="P51" s="452">
        <v>0</v>
      </c>
      <c r="Q51" s="456">
        <f t="shared" ref="Q51" si="20">SUM(Q48:Q50)</f>
        <v>127635300</v>
      </c>
      <c r="R51" s="327"/>
      <c r="S51" s="475">
        <v>127635300</v>
      </c>
      <c r="T51" s="329">
        <v>0</v>
      </c>
      <c r="U51" s="487">
        <v>0</v>
      </c>
      <c r="V51" s="409"/>
      <c r="W51" s="410">
        <v>0</v>
      </c>
      <c r="X51" s="423">
        <v>0</v>
      </c>
      <c r="Y51" s="424">
        <v>0</v>
      </c>
    </row>
    <row r="52" spans="1:25" ht="13.5" thickBot="1" x14ac:dyDescent="0.25">
      <c r="A52" s="344">
        <v>38</v>
      </c>
      <c r="B52" s="1028" t="s">
        <v>7</v>
      </c>
      <c r="C52" s="1029"/>
      <c r="D52" s="172" t="s">
        <v>58</v>
      </c>
      <c r="E52" s="294">
        <v>15000</v>
      </c>
      <c r="F52" s="522">
        <v>7440</v>
      </c>
      <c r="G52" s="523">
        <f>$E52*F52</f>
        <v>111600000</v>
      </c>
      <c r="H52" s="295">
        <f>F52/3</f>
        <v>2480</v>
      </c>
      <c r="I52" s="296">
        <f>H52*$E52</f>
        <v>37200000</v>
      </c>
      <c r="J52" s="353">
        <v>510</v>
      </c>
      <c r="K52" s="357">
        <f>$E52*J52</f>
        <v>7650000</v>
      </c>
      <c r="L52" s="341">
        <f>J52-H52</f>
        <v>-1970</v>
      </c>
      <c r="M52" s="386">
        <f>L52*$E52</f>
        <v>-29550000</v>
      </c>
      <c r="N52" s="297">
        <v>4960</v>
      </c>
      <c r="O52" s="298">
        <v>74400000</v>
      </c>
      <c r="P52" s="434">
        <v>6930</v>
      </c>
      <c r="Q52" s="457">
        <f>P52*$E52</f>
        <v>103950000</v>
      </c>
      <c r="R52" s="460">
        <v>6930</v>
      </c>
      <c r="S52" s="476">
        <v>103950000</v>
      </c>
      <c r="T52" s="494">
        <v>0</v>
      </c>
      <c r="U52" s="495">
        <v>0</v>
      </c>
      <c r="V52" s="419">
        <v>0</v>
      </c>
      <c r="W52" s="420">
        <v>0</v>
      </c>
      <c r="X52" s="299">
        <v>0</v>
      </c>
      <c r="Y52" s="300">
        <v>0</v>
      </c>
    </row>
    <row r="53" spans="1:25" ht="13.5" thickBot="1" x14ac:dyDescent="0.25">
      <c r="A53" s="282">
        <v>39</v>
      </c>
      <c r="B53" s="1030" t="s">
        <v>84</v>
      </c>
      <c r="C53" s="1031"/>
      <c r="D53" s="301"/>
      <c r="E53" s="302"/>
      <c r="F53" s="524"/>
      <c r="G53" s="401">
        <f>G9+G11+G29+G47+G51+G52+G38</f>
        <v>1590033560.72</v>
      </c>
      <c r="H53" s="281"/>
      <c r="I53" s="240">
        <f>I9+I11+I29+I47+I51+I52+I38</f>
        <v>359991619.60000002</v>
      </c>
      <c r="J53" s="364"/>
      <c r="K53" s="340">
        <f>K11+K29+K38+K47+K51+K52</f>
        <v>263688732.30000001</v>
      </c>
      <c r="L53" s="388"/>
      <c r="M53" s="369">
        <f>M11+M29+M38+M47+M51+M52</f>
        <v>-96302887.299999997</v>
      </c>
      <c r="N53" s="241"/>
      <c r="O53" s="242">
        <v>743472613</v>
      </c>
      <c r="P53" s="452">
        <v>0</v>
      </c>
      <c r="Q53" s="453">
        <f>Q11+Q29+Q38+Q47+Q51+Q52</f>
        <v>817043740.29999995</v>
      </c>
      <c r="R53" s="327">
        <v>0</v>
      </c>
      <c r="S53" s="475">
        <v>769386340.3000133</v>
      </c>
      <c r="T53" s="329">
        <v>0</v>
      </c>
      <c r="U53" s="332">
        <v>-47657400</v>
      </c>
      <c r="V53" s="409"/>
      <c r="W53" s="410">
        <v>486569328.12</v>
      </c>
      <c r="X53" s="423">
        <v>0</v>
      </c>
      <c r="Y53" s="380">
        <v>526204328.12</v>
      </c>
    </row>
    <row r="54" spans="1:25" x14ac:dyDescent="0.2">
      <c r="A54" s="345">
        <v>40</v>
      </c>
      <c r="B54" s="982" t="s">
        <v>73</v>
      </c>
      <c r="C54" s="983"/>
      <c r="D54" s="136" t="s">
        <v>10</v>
      </c>
      <c r="E54" s="132">
        <v>80000</v>
      </c>
      <c r="F54" s="499">
        <v>100</v>
      </c>
      <c r="G54" s="500">
        <f>$E54*F54</f>
        <v>8000000</v>
      </c>
      <c r="H54" s="224">
        <v>40</v>
      </c>
      <c r="I54" s="225">
        <f>H54*$E54</f>
        <v>3200000</v>
      </c>
      <c r="J54" s="353">
        <v>40</v>
      </c>
      <c r="K54" s="357">
        <f>$E54*J54</f>
        <v>3200000</v>
      </c>
      <c r="L54" s="385">
        <f>J54-H54</f>
        <v>0</v>
      </c>
      <c r="M54" s="386">
        <f>L54*$E54</f>
        <v>0</v>
      </c>
      <c r="N54" s="226">
        <v>60</v>
      </c>
      <c r="O54" s="227">
        <v>4800000</v>
      </c>
      <c r="P54" s="445">
        <v>185</v>
      </c>
      <c r="Q54" s="446">
        <f>P54*$E54</f>
        <v>14800000</v>
      </c>
      <c r="R54" s="462">
        <v>185</v>
      </c>
      <c r="S54" s="471">
        <v>14800000</v>
      </c>
      <c r="T54" s="488">
        <v>0</v>
      </c>
      <c r="U54" s="489">
        <v>0</v>
      </c>
      <c r="V54" s="405"/>
      <c r="W54" s="406">
        <v>0</v>
      </c>
      <c r="X54" s="260"/>
      <c r="Y54" s="261">
        <v>0</v>
      </c>
    </row>
    <row r="55" spans="1:25" x14ac:dyDescent="0.2">
      <c r="A55" s="131">
        <v>41</v>
      </c>
      <c r="B55" s="962" t="s">
        <v>74</v>
      </c>
      <c r="C55" s="963"/>
      <c r="D55" s="137" t="s">
        <v>10</v>
      </c>
      <c r="E55" s="134">
        <v>36000</v>
      </c>
      <c r="F55" s="505">
        <v>200</v>
      </c>
      <c r="G55" s="400">
        <f>$E55*F55</f>
        <v>7200000</v>
      </c>
      <c r="H55" s="244">
        <v>65</v>
      </c>
      <c r="I55" s="245">
        <f>H55*$E55</f>
        <v>2340000</v>
      </c>
      <c r="J55" s="353">
        <v>30</v>
      </c>
      <c r="K55" s="357">
        <f>$E55*J55</f>
        <v>1080000</v>
      </c>
      <c r="L55" s="385">
        <f>J55-H55</f>
        <v>-35</v>
      </c>
      <c r="M55" s="386">
        <f>L55*$E55</f>
        <v>-1260000</v>
      </c>
      <c r="N55" s="246">
        <v>135</v>
      </c>
      <c r="O55" s="247">
        <v>4860000</v>
      </c>
      <c r="P55" s="436"/>
      <c r="Q55" s="437">
        <f>P55*$E55</f>
        <v>0</v>
      </c>
      <c r="R55" s="461">
        <v>0</v>
      </c>
      <c r="S55" s="472">
        <v>0</v>
      </c>
      <c r="T55" s="490">
        <v>0</v>
      </c>
      <c r="U55" s="491">
        <v>0</v>
      </c>
      <c r="V55" s="411"/>
      <c r="W55" s="412">
        <v>0</v>
      </c>
      <c r="X55" s="248"/>
      <c r="Y55" s="249">
        <v>0</v>
      </c>
    </row>
    <row r="56" spans="1:25" x14ac:dyDescent="0.2">
      <c r="A56" s="345">
        <v>42</v>
      </c>
      <c r="B56" s="962" t="s">
        <v>75</v>
      </c>
      <c r="C56" s="963"/>
      <c r="D56" s="137" t="s">
        <v>10</v>
      </c>
      <c r="E56" s="134">
        <v>46000</v>
      </c>
      <c r="F56" s="505">
        <v>200</v>
      </c>
      <c r="G56" s="400">
        <f>$E56*F56</f>
        <v>9200000</v>
      </c>
      <c r="H56" s="244">
        <v>75</v>
      </c>
      <c r="I56" s="245">
        <f>H56*$E56</f>
        <v>3450000</v>
      </c>
      <c r="J56" s="353">
        <v>20</v>
      </c>
      <c r="K56" s="357">
        <f>$E56*J56</f>
        <v>920000</v>
      </c>
      <c r="L56" s="385">
        <f>J56-H56</f>
        <v>-55</v>
      </c>
      <c r="M56" s="386">
        <f>L56*$E56</f>
        <v>-2530000</v>
      </c>
      <c r="N56" s="246">
        <v>125</v>
      </c>
      <c r="O56" s="247">
        <v>5750000</v>
      </c>
      <c r="P56" s="436">
        <v>155</v>
      </c>
      <c r="Q56" s="437">
        <f>P56*$E56</f>
        <v>7130000</v>
      </c>
      <c r="R56" s="461">
        <v>155</v>
      </c>
      <c r="S56" s="472">
        <v>7130000</v>
      </c>
      <c r="T56" s="490">
        <v>0</v>
      </c>
      <c r="U56" s="491">
        <v>0</v>
      </c>
      <c r="V56" s="411"/>
      <c r="W56" s="412">
        <v>0</v>
      </c>
      <c r="X56" s="248"/>
      <c r="Y56" s="249">
        <v>0</v>
      </c>
    </row>
    <row r="57" spans="1:25" ht="13.5" thickBot="1" x14ac:dyDescent="0.25">
      <c r="A57" s="344">
        <v>43</v>
      </c>
      <c r="B57" s="974" t="s">
        <v>76</v>
      </c>
      <c r="C57" s="975"/>
      <c r="D57" s="346"/>
      <c r="E57" s="133">
        <v>2000000</v>
      </c>
      <c r="F57" s="501">
        <v>46</v>
      </c>
      <c r="G57" s="502">
        <f>$E57*F57</f>
        <v>92000000</v>
      </c>
      <c r="H57" s="230">
        <v>20</v>
      </c>
      <c r="I57" s="231">
        <f>H57*$E57</f>
        <v>40000000</v>
      </c>
      <c r="J57" s="353">
        <v>20</v>
      </c>
      <c r="K57" s="357">
        <f>$E57*J57</f>
        <v>40000000</v>
      </c>
      <c r="L57" s="341">
        <f>J57-H57</f>
        <v>0</v>
      </c>
      <c r="M57" s="386">
        <f>L57*$E57</f>
        <v>0</v>
      </c>
      <c r="N57" s="232">
        <v>26</v>
      </c>
      <c r="O57" s="233">
        <v>52000000</v>
      </c>
      <c r="P57" s="447">
        <v>36</v>
      </c>
      <c r="Q57" s="455">
        <f>P57*$E57</f>
        <v>72000000</v>
      </c>
      <c r="R57" s="463">
        <v>46</v>
      </c>
      <c r="S57" s="469">
        <v>92000000</v>
      </c>
      <c r="T57" s="485">
        <v>10</v>
      </c>
      <c r="U57" s="491">
        <v>20000000</v>
      </c>
      <c r="V57" s="407"/>
      <c r="W57" s="408">
        <v>0</v>
      </c>
      <c r="X57" s="262"/>
      <c r="Y57" s="290"/>
    </row>
    <row r="58" spans="1:25" ht="13.5" thickBot="1" x14ac:dyDescent="0.25">
      <c r="A58" s="282">
        <v>44</v>
      </c>
      <c r="B58" s="1008" t="s">
        <v>77</v>
      </c>
      <c r="C58" s="1009"/>
      <c r="D58" s="283"/>
      <c r="E58" s="284"/>
      <c r="F58" s="525">
        <f>SUM(F54:F56)</f>
        <v>500</v>
      </c>
      <c r="G58" s="401">
        <f>SUM(G54:G57)</f>
        <v>116400000</v>
      </c>
      <c r="H58" s="285"/>
      <c r="I58" s="240">
        <f>SUM(I54:I57)</f>
        <v>48990000</v>
      </c>
      <c r="J58" s="364"/>
      <c r="K58" s="340">
        <f>SUM(K54:K57)</f>
        <v>45200000</v>
      </c>
      <c r="L58" s="388"/>
      <c r="M58" s="369">
        <f>SUM(M54:M57)</f>
        <v>-3790000</v>
      </c>
      <c r="N58" s="241"/>
      <c r="O58" s="242">
        <v>67410000</v>
      </c>
      <c r="P58" s="452">
        <v>0</v>
      </c>
      <c r="Q58" s="453">
        <f t="shared" ref="Q58" si="21">SUM(Q54:Q57)</f>
        <v>93930000</v>
      </c>
      <c r="R58" s="327">
        <v>0</v>
      </c>
      <c r="S58" s="475">
        <v>113930000</v>
      </c>
      <c r="T58" s="329">
        <v>0</v>
      </c>
      <c r="U58" s="487">
        <v>20000000</v>
      </c>
      <c r="V58" s="409"/>
      <c r="W58" s="410">
        <v>0</v>
      </c>
      <c r="X58" s="423"/>
      <c r="Y58" s="380"/>
    </row>
    <row r="59" spans="1:25" x14ac:dyDescent="0.2">
      <c r="A59" s="345">
        <v>45</v>
      </c>
      <c r="B59" s="958" t="s">
        <v>78</v>
      </c>
      <c r="C59" s="959"/>
      <c r="D59" s="286" t="s">
        <v>79</v>
      </c>
      <c r="E59" s="132">
        <v>1500000</v>
      </c>
      <c r="F59" s="499">
        <v>30</v>
      </c>
      <c r="G59" s="500">
        <f>$E59*F59</f>
        <v>45000000</v>
      </c>
      <c r="H59" s="224">
        <v>6</v>
      </c>
      <c r="I59" s="225">
        <f>H59*$E59</f>
        <v>9000000</v>
      </c>
      <c r="J59" s="353">
        <v>6</v>
      </c>
      <c r="K59" s="357">
        <f>$E59*J59</f>
        <v>9000000</v>
      </c>
      <c r="L59" s="385">
        <f>J59-H59</f>
        <v>0</v>
      </c>
      <c r="M59" s="386">
        <f>L59*$E59</f>
        <v>0</v>
      </c>
      <c r="N59" s="226">
        <v>12</v>
      </c>
      <c r="O59" s="227">
        <v>18000000</v>
      </c>
      <c r="P59" s="445">
        <v>12</v>
      </c>
      <c r="Q59" s="446">
        <f>P59*$E59</f>
        <v>18000000</v>
      </c>
      <c r="R59" s="462">
        <v>12</v>
      </c>
      <c r="S59" s="471">
        <v>18000000</v>
      </c>
      <c r="T59" s="488">
        <v>0</v>
      </c>
      <c r="U59" s="489">
        <v>0</v>
      </c>
      <c r="V59" s="413">
        <v>12</v>
      </c>
      <c r="W59" s="414">
        <v>18000000</v>
      </c>
      <c r="X59" s="228">
        <v>12</v>
      </c>
      <c r="Y59" s="229">
        <v>18000000</v>
      </c>
    </row>
    <row r="60" spans="1:25" x14ac:dyDescent="0.2">
      <c r="A60" s="345">
        <v>46</v>
      </c>
      <c r="B60" s="1010" t="s">
        <v>80</v>
      </c>
      <c r="C60" s="1011"/>
      <c r="D60" s="140" t="s">
        <v>58</v>
      </c>
      <c r="E60" s="155">
        <v>50000</v>
      </c>
      <c r="F60" s="505">
        <v>150</v>
      </c>
      <c r="G60" s="400">
        <f>$E60*F60</f>
        <v>7500000</v>
      </c>
      <c r="H60" s="244">
        <v>60</v>
      </c>
      <c r="I60" s="245">
        <f>H60*$E60</f>
        <v>3000000</v>
      </c>
      <c r="J60" s="353">
        <v>30</v>
      </c>
      <c r="K60" s="357">
        <f>$E60*J60</f>
        <v>1500000</v>
      </c>
      <c r="L60" s="385">
        <f>J60-H60</f>
        <v>-30</v>
      </c>
      <c r="M60" s="386">
        <f>L60*$E60</f>
        <v>-1500000</v>
      </c>
      <c r="N60" s="246">
        <v>90</v>
      </c>
      <c r="O60" s="247">
        <v>4500000</v>
      </c>
      <c r="P60" s="436">
        <v>120</v>
      </c>
      <c r="Q60" s="437">
        <f>P60*$E60</f>
        <v>6000000</v>
      </c>
      <c r="R60" s="461">
        <v>120</v>
      </c>
      <c r="S60" s="472">
        <v>6000000</v>
      </c>
      <c r="T60" s="490">
        <v>0</v>
      </c>
      <c r="U60" s="491">
        <v>0</v>
      </c>
      <c r="V60" s="411"/>
      <c r="W60" s="412">
        <v>0</v>
      </c>
      <c r="X60" s="248">
        <v>0</v>
      </c>
      <c r="Y60" s="249">
        <v>0</v>
      </c>
    </row>
    <row r="61" spans="1:25" x14ac:dyDescent="0.2">
      <c r="A61" s="345">
        <v>47</v>
      </c>
      <c r="B61" s="962" t="s">
        <v>32</v>
      </c>
      <c r="C61" s="963"/>
      <c r="D61" s="137" t="s">
        <v>33</v>
      </c>
      <c r="E61" s="303">
        <v>800000</v>
      </c>
      <c r="F61" s="504">
        <v>41</v>
      </c>
      <c r="G61" s="400">
        <f>$E61*F61</f>
        <v>32800000</v>
      </c>
      <c r="H61" s="244">
        <v>20</v>
      </c>
      <c r="I61" s="245">
        <f>H61*$E61</f>
        <v>16000000</v>
      </c>
      <c r="J61" s="353">
        <v>41</v>
      </c>
      <c r="K61" s="357">
        <f>$E61*J61</f>
        <v>32800000</v>
      </c>
      <c r="L61" s="385">
        <f>J61-H61</f>
        <v>21</v>
      </c>
      <c r="M61" s="386">
        <f>L61*$E61</f>
        <v>16800000</v>
      </c>
      <c r="N61" s="246">
        <v>21</v>
      </c>
      <c r="O61" s="247">
        <v>16800000</v>
      </c>
      <c r="P61" s="436">
        <v>0</v>
      </c>
      <c r="Q61" s="437">
        <f>P61*$E61</f>
        <v>0</v>
      </c>
      <c r="R61" s="461">
        <v>0</v>
      </c>
      <c r="S61" s="472">
        <v>0</v>
      </c>
      <c r="T61" s="490">
        <v>0</v>
      </c>
      <c r="U61" s="491">
        <v>0</v>
      </c>
      <c r="V61" s="411">
        <v>0</v>
      </c>
      <c r="W61" s="412">
        <v>0</v>
      </c>
      <c r="X61" s="248">
        <v>0</v>
      </c>
      <c r="Y61" s="249">
        <v>0</v>
      </c>
    </row>
    <row r="62" spans="1:25" x14ac:dyDescent="0.2">
      <c r="A62" s="131">
        <v>48</v>
      </c>
      <c r="B62" s="962" t="s">
        <v>34</v>
      </c>
      <c r="C62" s="963"/>
      <c r="D62" s="137" t="s">
        <v>33</v>
      </c>
      <c r="E62" s="155">
        <v>250000</v>
      </c>
      <c r="F62" s="505">
        <v>41</v>
      </c>
      <c r="G62" s="400">
        <f>$E62*F62</f>
        <v>10250000</v>
      </c>
      <c r="H62" s="244">
        <v>41</v>
      </c>
      <c r="I62" s="245">
        <f>H62*$E62</f>
        <v>10250000</v>
      </c>
      <c r="J62" s="353">
        <v>41</v>
      </c>
      <c r="K62" s="357">
        <f>$E62*J62</f>
        <v>10250000</v>
      </c>
      <c r="L62" s="385">
        <f>J62-H62</f>
        <v>0</v>
      </c>
      <c r="M62" s="386">
        <f>L62*$E62</f>
        <v>0</v>
      </c>
      <c r="N62" s="246">
        <v>0</v>
      </c>
      <c r="O62" s="247">
        <v>0</v>
      </c>
      <c r="P62" s="436">
        <v>0</v>
      </c>
      <c r="Q62" s="437">
        <f>P62*$E62</f>
        <v>0</v>
      </c>
      <c r="R62" s="461">
        <v>0</v>
      </c>
      <c r="S62" s="472">
        <v>0</v>
      </c>
      <c r="T62" s="490">
        <v>0</v>
      </c>
      <c r="U62" s="491">
        <v>0</v>
      </c>
      <c r="V62" s="411">
        <v>0</v>
      </c>
      <c r="W62" s="412">
        <v>0</v>
      </c>
      <c r="X62" s="248">
        <v>0</v>
      </c>
      <c r="Y62" s="249">
        <v>0</v>
      </c>
    </row>
    <row r="63" spans="1:25" ht="13.5" thickBot="1" x14ac:dyDescent="0.25">
      <c r="A63" s="344">
        <v>49</v>
      </c>
      <c r="B63" s="1012" t="s">
        <v>81</v>
      </c>
      <c r="C63" s="1013"/>
      <c r="D63" s="304" t="s">
        <v>82</v>
      </c>
      <c r="E63" s="305">
        <v>2000000</v>
      </c>
      <c r="F63" s="501">
        <v>3</v>
      </c>
      <c r="G63" s="502">
        <f>$E63*F63</f>
        <v>6000000</v>
      </c>
      <c r="H63" s="230">
        <v>1</v>
      </c>
      <c r="I63" s="231">
        <f>H63*$E63</f>
        <v>2000000</v>
      </c>
      <c r="J63" s="366">
        <v>0</v>
      </c>
      <c r="K63" s="355">
        <f>$E63*J63</f>
        <v>0</v>
      </c>
      <c r="L63" s="341">
        <f>J63-H63</f>
        <v>-1</v>
      </c>
      <c r="M63" s="387">
        <f>L63*$E63</f>
        <v>-2000000</v>
      </c>
      <c r="N63" s="306">
        <v>1</v>
      </c>
      <c r="O63" s="307">
        <v>2000000</v>
      </c>
      <c r="P63" s="447">
        <v>2</v>
      </c>
      <c r="Q63" s="455">
        <f>P63*$E63</f>
        <v>4000000</v>
      </c>
      <c r="R63" s="463">
        <v>0</v>
      </c>
      <c r="S63" s="469">
        <v>0</v>
      </c>
      <c r="T63" s="485">
        <v>-2</v>
      </c>
      <c r="U63" s="486">
        <v>-4000000</v>
      </c>
      <c r="V63" s="407"/>
      <c r="W63" s="408"/>
      <c r="X63" s="262"/>
      <c r="Y63" s="290"/>
    </row>
    <row r="64" spans="1:25" ht="14.25" customHeight="1" thickBot="1" x14ac:dyDescent="0.25">
      <c r="A64" s="538">
        <v>50</v>
      </c>
      <c r="B64" s="1014" t="s">
        <v>83</v>
      </c>
      <c r="C64" s="1015"/>
      <c r="D64" s="539"/>
      <c r="E64" s="540"/>
      <c r="F64" s="541"/>
      <c r="G64" s="507">
        <f>'[1]Нэгдсэн төсөв'!F57</f>
        <v>101550000</v>
      </c>
      <c r="H64" s="542"/>
      <c r="I64" s="253">
        <f>SUM(I59:I63)</f>
        <v>40250000</v>
      </c>
      <c r="J64" s="382"/>
      <c r="K64" s="359">
        <f>SUM(K59:K63)</f>
        <v>53550000</v>
      </c>
      <c r="L64" s="543"/>
      <c r="M64" s="544">
        <f>SUM(M59:M63)</f>
        <v>13300000</v>
      </c>
      <c r="N64" s="545"/>
      <c r="O64" s="546">
        <v>41300000</v>
      </c>
      <c r="P64" s="547"/>
      <c r="Q64" s="548">
        <f t="shared" ref="Q64" si="22">SUM(Q59:Q63)</f>
        <v>28000000</v>
      </c>
      <c r="R64" s="549"/>
      <c r="S64" s="373">
        <v>24000000</v>
      </c>
      <c r="T64" s="338">
        <v>0</v>
      </c>
      <c r="U64" s="337">
        <v>-4000000</v>
      </c>
      <c r="V64" s="578"/>
      <c r="W64" s="748">
        <v>20000000</v>
      </c>
      <c r="X64" s="751"/>
      <c r="Y64" s="377">
        <f>SUM(Y59:Y63)</f>
        <v>18000000</v>
      </c>
    </row>
    <row r="65" spans="1:27" ht="13.5" thickBot="1" x14ac:dyDescent="0.25">
      <c r="A65" s="282">
        <v>51</v>
      </c>
      <c r="B65" s="1016" t="s">
        <v>85</v>
      </c>
      <c r="C65" s="1017"/>
      <c r="D65" s="550"/>
      <c r="E65" s="551"/>
      <c r="F65" s="524"/>
      <c r="G65" s="401">
        <f>'[1]Нэгдсэн төсөв'!F58</f>
        <v>217950000</v>
      </c>
      <c r="H65" s="281"/>
      <c r="I65" s="240">
        <f>I58+I64</f>
        <v>89240000</v>
      </c>
      <c r="J65" s="339"/>
      <c r="K65" s="340">
        <f>K58+K64</f>
        <v>98750000</v>
      </c>
      <c r="L65" s="552"/>
      <c r="M65" s="369">
        <f>M58+M64</f>
        <v>9510000</v>
      </c>
      <c r="N65" s="241"/>
      <c r="O65" s="553">
        <v>108710000</v>
      </c>
      <c r="P65" s="452"/>
      <c r="Q65" s="453">
        <f t="shared" ref="Q65" si="23">Q58+Q64</f>
        <v>121930000</v>
      </c>
      <c r="R65" s="477"/>
      <c r="S65" s="374">
        <v>137930000</v>
      </c>
      <c r="T65" s="329">
        <v>0</v>
      </c>
      <c r="U65" s="335">
        <v>16000000</v>
      </c>
      <c r="V65" s="579"/>
      <c r="W65" s="410">
        <v>20000000</v>
      </c>
      <c r="X65" s="423"/>
      <c r="Y65" s="380">
        <f>Y58+Y64</f>
        <v>18000000</v>
      </c>
    </row>
    <row r="66" spans="1:27" ht="13.5" thickBot="1" x14ac:dyDescent="0.25">
      <c r="A66" s="554">
        <v>52</v>
      </c>
      <c r="B66" s="1018" t="s">
        <v>86</v>
      </c>
      <c r="C66" s="1019"/>
      <c r="D66" s="555"/>
      <c r="E66" s="556"/>
      <c r="F66" s="557"/>
      <c r="G66" s="558">
        <f>'[1]Нэгдсэн төсөв'!F59</f>
        <v>1807983560.72</v>
      </c>
      <c r="H66" s="559"/>
      <c r="I66" s="560">
        <f>I53+I65</f>
        <v>449231619.60000002</v>
      </c>
      <c r="J66" s="381"/>
      <c r="K66" s="561">
        <f>K53+K65</f>
        <v>362438732.30000001</v>
      </c>
      <c r="L66" s="562"/>
      <c r="M66" s="342">
        <f>M53+M65</f>
        <v>-86792887.299999997</v>
      </c>
      <c r="N66" s="563"/>
      <c r="O66" s="546">
        <v>852182613</v>
      </c>
      <c r="P66" s="434"/>
      <c r="Q66" s="564">
        <f t="shared" ref="Q66" si="24">Q53+Q65</f>
        <v>938973740.29999995</v>
      </c>
      <c r="R66" s="478"/>
      <c r="S66" s="479">
        <v>907316340.3000133</v>
      </c>
      <c r="T66" s="494">
        <v>0</v>
      </c>
      <c r="U66" s="496">
        <v>-31657400</v>
      </c>
      <c r="V66" s="580"/>
      <c r="W66" s="749">
        <v>506569328.12</v>
      </c>
      <c r="X66" s="299"/>
      <c r="Y66" s="425">
        <f>Y53+Y65</f>
        <v>544204328.12</v>
      </c>
    </row>
    <row r="67" spans="1:27" ht="14.25" thickBot="1" x14ac:dyDescent="0.3">
      <c r="A67" s="282">
        <v>53</v>
      </c>
      <c r="B67" s="1006" t="s">
        <v>15</v>
      </c>
      <c r="C67" s="1007"/>
      <c r="D67" s="565" t="s">
        <v>2</v>
      </c>
      <c r="E67" s="566" t="s">
        <v>2</v>
      </c>
      <c r="F67" s="524">
        <v>10</v>
      </c>
      <c r="G67" s="401">
        <f>'[1]Нэгдсэн төсөв'!F60</f>
        <v>180798356.07200003</v>
      </c>
      <c r="H67" s="567"/>
      <c r="I67" s="240">
        <f>I66*0.1</f>
        <v>44923161.960000008</v>
      </c>
      <c r="J67" s="339"/>
      <c r="K67" s="340">
        <f>K66*0.1</f>
        <v>36243873.230000004</v>
      </c>
      <c r="L67" s="552"/>
      <c r="M67" s="369">
        <f>M66*0.1</f>
        <v>-8679288.7300000004</v>
      </c>
      <c r="N67" s="241"/>
      <c r="O67" s="553">
        <v>85218261.300000012</v>
      </c>
      <c r="P67" s="452"/>
      <c r="Q67" s="453">
        <f t="shared" ref="Q67" si="25">Q66*0.1</f>
        <v>93897374.030000001</v>
      </c>
      <c r="R67" s="477"/>
      <c r="S67" s="374">
        <v>90731634.030001342</v>
      </c>
      <c r="T67" s="329">
        <v>0</v>
      </c>
      <c r="U67" s="335">
        <v>-3165740</v>
      </c>
      <c r="V67" s="579"/>
      <c r="W67" s="410">
        <v>50656932.812000006</v>
      </c>
      <c r="X67" s="423"/>
      <c r="Y67" s="380">
        <f>Y66*0.1</f>
        <v>54420432.812000006</v>
      </c>
    </row>
    <row r="68" spans="1:27" ht="13.5" thickBot="1" x14ac:dyDescent="0.25">
      <c r="A68" s="554">
        <v>54</v>
      </c>
      <c r="B68" s="1020" t="s">
        <v>4</v>
      </c>
      <c r="C68" s="1021"/>
      <c r="D68" s="568" t="s">
        <v>2</v>
      </c>
      <c r="E68" s="569">
        <v>0.05</v>
      </c>
      <c r="F68" s="522"/>
      <c r="G68" s="558">
        <f>'[1]Нэгдсэн төсөв'!F61</f>
        <v>9039917.8036000002</v>
      </c>
      <c r="H68" s="295"/>
      <c r="I68" s="296">
        <f>I66*0.005</f>
        <v>2246158.0980000002</v>
      </c>
      <c r="J68" s="381"/>
      <c r="K68" s="570"/>
      <c r="L68" s="562"/>
      <c r="M68" s="571">
        <f>I68</f>
        <v>2246158.0980000002</v>
      </c>
      <c r="N68" s="396"/>
      <c r="O68" s="546">
        <v>4260913.0650000004</v>
      </c>
      <c r="P68" s="434"/>
      <c r="Q68" s="572">
        <f>O68+M68</f>
        <v>6507071.1630000006</v>
      </c>
      <c r="R68" s="478"/>
      <c r="S68" s="577"/>
      <c r="T68" s="494">
        <v>0</v>
      </c>
      <c r="U68" s="581">
        <v>-6507071.162985201</v>
      </c>
      <c r="V68" s="580"/>
      <c r="W68" s="750">
        <v>2532846.6406</v>
      </c>
      <c r="X68" s="299"/>
      <c r="Y68" s="300">
        <v>2466494</v>
      </c>
      <c r="Z68" s="83"/>
      <c r="AA68" s="83"/>
    </row>
    <row r="69" spans="1:27" ht="15" customHeight="1" thickBot="1" x14ac:dyDescent="0.25">
      <c r="A69" s="282">
        <v>55</v>
      </c>
      <c r="B69" s="1006" t="s">
        <v>87</v>
      </c>
      <c r="C69" s="1007"/>
      <c r="D69" s="573"/>
      <c r="E69" s="574"/>
      <c r="F69" s="575"/>
      <c r="G69" s="401">
        <f>'[1]Нэгдсэн төсөв'!F62</f>
        <v>1997821834.5956001</v>
      </c>
      <c r="H69" s="576"/>
      <c r="I69" s="240">
        <f>SUM(I66:I67)+I68</f>
        <v>496400939.65800005</v>
      </c>
      <c r="J69" s="339"/>
      <c r="K69" s="340">
        <f>SUM(K66:K67)</f>
        <v>398682605.53000003</v>
      </c>
      <c r="L69" s="552"/>
      <c r="M69" s="369">
        <f>M66+M67-M68</f>
        <v>-97718334.128000006</v>
      </c>
      <c r="N69" s="241"/>
      <c r="O69" s="553">
        <v>941661787.36500001</v>
      </c>
      <c r="P69" s="452"/>
      <c r="Q69" s="453">
        <f>SUM(Q66:Q68)</f>
        <v>1039378185.4929999</v>
      </c>
      <c r="R69" s="477"/>
      <c r="S69" s="374">
        <v>998047974.33001471</v>
      </c>
      <c r="T69" s="329">
        <v>0</v>
      </c>
      <c r="U69" s="335">
        <v>-41330211.162985198</v>
      </c>
      <c r="V69" s="579"/>
      <c r="W69" s="410">
        <v>559759107.57260001</v>
      </c>
      <c r="X69" s="423"/>
      <c r="Y69" s="380">
        <f>Y66+Y67+Y68</f>
        <v>601091254.93200004</v>
      </c>
      <c r="Z69" s="83"/>
      <c r="AA69" s="752"/>
    </row>
    <row r="70" spans="1:27" s="80" customFormat="1" ht="21.75" customHeight="1" x14ac:dyDescent="0.2">
      <c r="A70" s="308" t="s">
        <v>134</v>
      </c>
      <c r="B70" s="316"/>
      <c r="C70" s="316"/>
      <c r="D70" s="526"/>
      <c r="E70" s="527"/>
      <c r="F70" s="528"/>
      <c r="G70" s="527"/>
      <c r="H70" s="309" t="s">
        <v>135</v>
      </c>
      <c r="I70" s="527"/>
      <c r="J70" s="527"/>
      <c r="K70" s="529">
        <v>1039380121.4929999</v>
      </c>
      <c r="L70" s="530"/>
      <c r="M70" s="531"/>
      <c r="N70" s="531"/>
      <c r="O70" s="531"/>
      <c r="P70" s="531"/>
      <c r="Q70" s="531"/>
      <c r="R70" s="532"/>
      <c r="S70" s="533"/>
      <c r="T70" s="310" t="s">
        <v>136</v>
      </c>
      <c r="U70" s="314"/>
      <c r="V70" s="534">
        <f>K70-Q69</f>
        <v>1936</v>
      </c>
      <c r="W70" s="535"/>
      <c r="X70" s="531"/>
      <c r="Y70" s="531"/>
    </row>
    <row r="71" spans="1:27" s="80" customFormat="1" ht="14.25" x14ac:dyDescent="0.2">
      <c r="A71" s="314"/>
      <c r="B71" s="314"/>
      <c r="C71" s="742" t="s">
        <v>173</v>
      </c>
      <c r="D71" s="314"/>
      <c r="E71" s="537" t="s">
        <v>150</v>
      </c>
      <c r="H71" s="317" t="s">
        <v>166</v>
      </c>
      <c r="I71" s="313"/>
      <c r="J71" s="314"/>
      <c r="K71" s="314"/>
      <c r="M71" s="531"/>
      <c r="N71" s="536" t="s">
        <v>167</v>
      </c>
      <c r="O71" s="531"/>
      <c r="P71" s="531"/>
      <c r="Q71" s="531"/>
      <c r="R71" s="314"/>
      <c r="S71" s="314"/>
      <c r="T71" s="314"/>
      <c r="U71" s="314"/>
      <c r="V71" s="314"/>
      <c r="W71" s="314"/>
      <c r="X71" s="531"/>
      <c r="Y71" s="531"/>
    </row>
    <row r="72" spans="1:27" s="80" customFormat="1" ht="14.25" x14ac:dyDescent="0.2">
      <c r="A72" s="531"/>
      <c r="B72" s="315"/>
      <c r="C72" s="315"/>
      <c r="D72" s="314"/>
      <c r="E72" s="531"/>
      <c r="F72" s="531"/>
      <c r="G72" s="531"/>
      <c r="H72" s="314"/>
      <c r="I72" s="314"/>
      <c r="J72" s="314"/>
      <c r="K72" s="313"/>
      <c r="L72" s="531" t="s">
        <v>168</v>
      </c>
      <c r="M72" s="531" t="s">
        <v>169</v>
      </c>
      <c r="N72" s="531" t="s">
        <v>170</v>
      </c>
      <c r="O72" s="531"/>
      <c r="P72" s="531"/>
      <c r="Q72" s="531"/>
      <c r="R72" s="315" t="s">
        <v>137</v>
      </c>
      <c r="S72" s="531"/>
      <c r="T72" s="314"/>
      <c r="U72" s="531"/>
      <c r="V72" s="314" t="s">
        <v>108</v>
      </c>
      <c r="W72" s="314"/>
      <c r="X72" s="531"/>
      <c r="Y72" s="531"/>
    </row>
    <row r="73" spans="1:27" s="80" customFormat="1" ht="14.25" x14ac:dyDescent="0.2">
      <c r="A73" s="314"/>
      <c r="B73" s="314"/>
      <c r="C73" s="317" t="s">
        <v>172</v>
      </c>
      <c r="E73" s="537" t="s">
        <v>165</v>
      </c>
      <c r="H73" s="317" t="s">
        <v>138</v>
      </c>
      <c r="I73" s="314"/>
      <c r="J73" s="314"/>
      <c r="K73" s="314"/>
      <c r="M73" s="531"/>
      <c r="N73" s="742" t="s">
        <v>116</v>
      </c>
      <c r="O73" s="531"/>
      <c r="P73" s="531"/>
      <c r="Q73" s="531"/>
      <c r="R73" s="314"/>
      <c r="S73" s="316"/>
      <c r="T73" s="314"/>
      <c r="U73" s="531"/>
      <c r="V73" s="531"/>
      <c r="W73" s="314"/>
      <c r="X73" s="531"/>
      <c r="Y73" s="531"/>
    </row>
    <row r="74" spans="1:27" s="80" customFormat="1" ht="14.25" x14ac:dyDescent="0.2">
      <c r="A74" s="314"/>
      <c r="B74" s="315"/>
      <c r="C74" s="315"/>
      <c r="D74" s="314"/>
      <c r="E74" s="531"/>
      <c r="F74" s="531"/>
      <c r="G74" s="531"/>
      <c r="H74" s="314"/>
      <c r="I74" s="314"/>
      <c r="J74" s="314"/>
      <c r="K74" s="531"/>
      <c r="L74" s="314"/>
      <c r="M74" s="531"/>
      <c r="N74" s="531"/>
      <c r="O74" s="531"/>
      <c r="P74" s="531"/>
      <c r="Q74" s="531"/>
      <c r="R74" s="314" t="s">
        <v>139</v>
      </c>
      <c r="S74" s="531"/>
      <c r="T74" s="314"/>
      <c r="U74" s="314"/>
      <c r="V74" s="315" t="s">
        <v>151</v>
      </c>
      <c r="W74" s="536"/>
      <c r="X74" s="531"/>
      <c r="Y74" s="531"/>
    </row>
    <row r="75" spans="1:27" s="80" customFormat="1" ht="14.25" x14ac:dyDescent="0.2">
      <c r="A75" s="314"/>
      <c r="B75" s="314"/>
      <c r="C75" s="742" t="s">
        <v>171</v>
      </c>
      <c r="E75" s="742" t="s">
        <v>152</v>
      </c>
      <c r="F75" s="314"/>
      <c r="G75" s="314"/>
      <c r="H75" s="314"/>
      <c r="I75" s="314"/>
      <c r="J75" s="314"/>
      <c r="K75" s="316"/>
      <c r="L75" s="316"/>
      <c r="M75" s="531"/>
      <c r="N75" s="531"/>
      <c r="O75" s="531"/>
      <c r="P75" s="531"/>
      <c r="Q75" s="531"/>
      <c r="R75" s="314"/>
      <c r="S75" s="314"/>
      <c r="T75" s="314"/>
      <c r="U75" s="531"/>
      <c r="V75" s="531"/>
      <c r="W75" s="314"/>
      <c r="X75" s="531"/>
      <c r="Y75" s="531"/>
    </row>
    <row r="76" spans="1:27" s="80" customFormat="1" ht="14.25" x14ac:dyDescent="0.2">
      <c r="A76" s="317"/>
      <c r="B76" s="319"/>
      <c r="C76" s="319"/>
      <c r="D76" s="317"/>
      <c r="E76" s="531"/>
      <c r="F76" s="531"/>
      <c r="G76" s="531"/>
      <c r="H76" s="320"/>
      <c r="I76" s="320"/>
      <c r="J76" s="320"/>
      <c r="K76" s="531"/>
      <c r="L76" s="531"/>
      <c r="M76" s="531"/>
      <c r="N76" s="531"/>
      <c r="O76" s="531"/>
      <c r="P76" s="531"/>
      <c r="Q76" s="531"/>
      <c r="R76" s="315" t="s">
        <v>142</v>
      </c>
      <c r="S76" s="314"/>
      <c r="T76" s="531"/>
      <c r="U76" s="315"/>
      <c r="V76" s="314" t="s">
        <v>111</v>
      </c>
      <c r="W76" s="531"/>
      <c r="X76" s="531"/>
      <c r="Y76" s="531"/>
    </row>
    <row r="77" spans="1:27" s="80" customFormat="1" ht="14.25" x14ac:dyDescent="0.2">
      <c r="A77" s="314"/>
      <c r="B77" s="314"/>
      <c r="C77" s="314"/>
      <c r="D77" s="314"/>
      <c r="E77" s="526"/>
      <c r="F77" s="526"/>
      <c r="G77" s="314"/>
      <c r="H77" s="314"/>
      <c r="I77" s="314"/>
      <c r="J77" s="314"/>
      <c r="K77" s="314"/>
      <c r="L77" s="314"/>
      <c r="M77" s="531"/>
      <c r="N77" s="531"/>
      <c r="O77" s="531"/>
      <c r="P77" s="531"/>
      <c r="Q77" s="531"/>
      <c r="R77" s="531"/>
      <c r="S77" s="531"/>
      <c r="T77" s="531"/>
      <c r="U77" s="531"/>
      <c r="V77" s="531"/>
      <c r="W77" s="531"/>
      <c r="X77" s="531"/>
      <c r="Y77" s="531"/>
    </row>
    <row r="78" spans="1:27" s="80" customFormat="1" ht="14.25" x14ac:dyDescent="0.2">
      <c r="B78" s="311"/>
      <c r="C78" s="311"/>
      <c r="D78" s="314"/>
      <c r="F78" s="314"/>
      <c r="G78" s="312"/>
      <c r="H78" s="312"/>
      <c r="I78" s="312"/>
      <c r="J78" s="312"/>
      <c r="K78" s="314"/>
      <c r="L78" s="314"/>
      <c r="T78" s="312"/>
    </row>
    <row r="79" spans="1:27" s="80" customFormat="1" ht="15" x14ac:dyDescent="0.25">
      <c r="A79" s="321"/>
      <c r="B79" s="321"/>
      <c r="C79" s="321"/>
      <c r="D79" s="321"/>
      <c r="E79" s="321"/>
      <c r="F79" s="321"/>
      <c r="G79" s="321"/>
      <c r="H79" s="321"/>
      <c r="I79" s="321"/>
      <c r="J79" s="321"/>
      <c r="K79" s="321"/>
      <c r="L79" s="321"/>
      <c r="R79" s="314"/>
      <c r="S79" s="314"/>
      <c r="T79" s="312"/>
    </row>
    <row r="80" spans="1:27" s="80" customFormat="1" ht="12.75" customHeight="1" x14ac:dyDescent="0.2">
      <c r="A80" s="112"/>
      <c r="B80" s="322"/>
      <c r="C80" s="322"/>
      <c r="D80" s="99"/>
      <c r="E80" s="100"/>
      <c r="F80" s="101"/>
      <c r="G80" s="113"/>
      <c r="H80" s="103"/>
      <c r="I80" s="104"/>
      <c r="J80" s="104"/>
      <c r="K80" s="323"/>
      <c r="L80" s="323"/>
      <c r="M80" s="88"/>
      <c r="N80" s="1"/>
      <c r="O80" s="1"/>
      <c r="P80" s="38"/>
      <c r="Q80" s="1"/>
      <c r="R80" s="1"/>
      <c r="S80" s="1"/>
      <c r="T80" s="1"/>
    </row>
    <row r="81" spans="1:20" s="80" customFormat="1" x14ac:dyDescent="0.2">
      <c r="A81" s="112"/>
      <c r="B81" s="322"/>
      <c r="C81" s="322"/>
      <c r="D81" s="99"/>
      <c r="E81" s="100"/>
      <c r="F81" s="101"/>
      <c r="G81" s="113"/>
      <c r="H81" s="103"/>
      <c r="I81" s="104"/>
      <c r="J81" s="104"/>
      <c r="K81" s="324"/>
      <c r="L81" s="324"/>
      <c r="M81" s="1"/>
      <c r="N81" s="1"/>
      <c r="O81" s="1"/>
      <c r="P81" s="1"/>
      <c r="Q81" s="1"/>
      <c r="R81" s="1"/>
      <c r="S81" s="1"/>
      <c r="T81" s="1"/>
    </row>
    <row r="82" spans="1:20" s="80" customFormat="1" x14ac:dyDescent="0.2">
      <c r="A82" s="74"/>
      <c r="B82" s="325"/>
      <c r="C82" s="325"/>
      <c r="D82" s="72"/>
      <c r="E82" s="20"/>
      <c r="F82" s="21"/>
      <c r="G82" s="22"/>
      <c r="H82" s="23"/>
      <c r="I82" s="2"/>
      <c r="J82" s="2"/>
      <c r="K82" s="324"/>
      <c r="L82" s="324"/>
      <c r="M82" s="1"/>
      <c r="R82" s="311"/>
      <c r="S82" s="1"/>
      <c r="T82" s="1"/>
    </row>
    <row r="83" spans="1:20" s="80" customFormat="1" x14ac:dyDescent="0.2">
      <c r="A83" s="74"/>
      <c r="B83" s="325"/>
      <c r="C83" s="325"/>
      <c r="D83" s="72"/>
      <c r="E83" s="20"/>
      <c r="F83" s="21"/>
      <c r="G83" s="22"/>
      <c r="H83" s="23"/>
      <c r="I83" s="2"/>
      <c r="J83" s="2"/>
      <c r="K83" s="324"/>
      <c r="L83" s="324"/>
      <c r="M83" s="1"/>
      <c r="R83" s="311"/>
      <c r="S83" s="1"/>
      <c r="T83" s="1"/>
    </row>
    <row r="84" spans="1:20" s="80" customFormat="1" x14ac:dyDescent="0.2">
      <c r="A84" s="74"/>
      <c r="B84" s="325"/>
      <c r="C84" s="325"/>
      <c r="E84" s="20"/>
      <c r="F84" s="21"/>
      <c r="G84" s="22"/>
      <c r="H84" s="23"/>
      <c r="I84" s="2"/>
      <c r="J84" s="2"/>
      <c r="K84" s="324"/>
      <c r="L84" s="324"/>
      <c r="M84" s="1"/>
      <c r="R84" s="318"/>
      <c r="S84" s="1"/>
      <c r="T84" s="1"/>
    </row>
    <row r="85" spans="1:20" s="80" customFormat="1" ht="15" x14ac:dyDescent="0.25">
      <c r="A85" s="74"/>
      <c r="B85" s="325"/>
      <c r="C85" s="325"/>
      <c r="D85" s="72"/>
      <c r="E85" s="20"/>
      <c r="F85" s="21"/>
      <c r="G85" s="22"/>
      <c r="H85" s="23"/>
      <c r="I85" s="2"/>
      <c r="J85" s="2"/>
      <c r="K85" s="324"/>
      <c r="L85" s="324"/>
      <c r="M85" s="1"/>
      <c r="N85" s="321"/>
      <c r="O85" s="321"/>
      <c r="P85" s="321"/>
      <c r="Q85" s="321"/>
      <c r="R85" s="1"/>
      <c r="S85" s="1"/>
      <c r="T85" s="1"/>
    </row>
    <row r="86" spans="1:20" s="80" customFormat="1" x14ac:dyDescent="0.2">
      <c r="A86" s="74"/>
      <c r="B86" s="325"/>
      <c r="C86" s="325"/>
      <c r="D86" s="72"/>
      <c r="E86" s="20"/>
      <c r="F86" s="21"/>
      <c r="G86" s="22"/>
      <c r="H86" s="23"/>
      <c r="I86" s="2"/>
      <c r="J86" s="2"/>
      <c r="K86" s="324"/>
      <c r="L86" s="324"/>
      <c r="M86" s="1"/>
      <c r="N86" s="1"/>
      <c r="O86" s="1"/>
      <c r="P86" s="1"/>
      <c r="Q86" s="1"/>
      <c r="R86" s="1"/>
      <c r="S86" s="1"/>
      <c r="T86" s="1"/>
    </row>
    <row r="87" spans="1:20" s="80" customFormat="1" x14ac:dyDescent="0.2">
      <c r="A87" s="74"/>
      <c r="B87" s="325"/>
      <c r="C87" s="325"/>
      <c r="D87" s="72"/>
      <c r="E87" s="20"/>
      <c r="F87" s="21"/>
      <c r="G87" s="22"/>
      <c r="H87" s="23"/>
      <c r="I87" s="2"/>
      <c r="J87" s="2"/>
      <c r="K87" s="324"/>
      <c r="L87" s="324"/>
      <c r="M87" s="1"/>
      <c r="N87" s="1"/>
      <c r="O87" s="1"/>
      <c r="P87" s="1"/>
      <c r="Q87" s="1"/>
      <c r="R87" s="1"/>
      <c r="S87" s="1"/>
      <c r="T87" s="1"/>
    </row>
    <row r="88" spans="1:20" s="80" customFormat="1" x14ac:dyDescent="0.2">
      <c r="A88" s="74"/>
      <c r="B88" s="325"/>
      <c r="C88" s="325"/>
      <c r="D88" s="72"/>
      <c r="E88" s="20"/>
      <c r="F88" s="21"/>
      <c r="G88" s="22"/>
      <c r="H88" s="23"/>
      <c r="I88" s="2"/>
      <c r="J88" s="2"/>
      <c r="K88" s="324"/>
      <c r="L88" s="324"/>
      <c r="M88" s="1"/>
      <c r="N88" s="1"/>
      <c r="O88" s="1"/>
      <c r="P88" s="1"/>
      <c r="Q88" s="1"/>
      <c r="R88" s="1"/>
      <c r="S88" s="1"/>
      <c r="T88" s="1"/>
    </row>
    <row r="89" spans="1:20" s="80" customFormat="1" x14ac:dyDescent="0.2">
      <c r="A89" s="74"/>
      <c r="B89" s="325"/>
      <c r="C89" s="325"/>
      <c r="D89" s="72"/>
      <c r="E89" s="20"/>
      <c r="F89" s="21"/>
      <c r="G89" s="22"/>
      <c r="H89" s="23"/>
      <c r="I89" s="2"/>
      <c r="J89" s="2"/>
      <c r="K89" s="324"/>
      <c r="L89" s="324"/>
      <c r="M89" s="1"/>
      <c r="N89" s="1"/>
      <c r="O89" s="1"/>
      <c r="P89" s="1"/>
      <c r="Q89" s="1"/>
      <c r="R89" s="1"/>
      <c r="S89" s="1"/>
      <c r="T89" s="1"/>
    </row>
    <row r="90" spans="1:20" s="80" customFormat="1" x14ac:dyDescent="0.2">
      <c r="A90" s="74"/>
      <c r="B90" s="325"/>
      <c r="C90" s="325"/>
      <c r="D90" s="72"/>
      <c r="E90" s="20"/>
      <c r="F90" s="21"/>
      <c r="G90" s="22"/>
      <c r="H90" s="23"/>
      <c r="I90" s="2"/>
      <c r="J90" s="2"/>
      <c r="K90" s="324"/>
      <c r="L90" s="324"/>
      <c r="M90" s="1"/>
      <c r="N90" s="1"/>
      <c r="O90" s="1"/>
      <c r="P90" s="1"/>
      <c r="Q90" s="1"/>
      <c r="R90" s="1"/>
      <c r="S90" s="1"/>
      <c r="T90" s="1"/>
    </row>
    <row r="91" spans="1:20" s="80" customFormat="1" x14ac:dyDescent="0.2">
      <c r="A91" s="74"/>
      <c r="B91" s="325"/>
      <c r="C91" s="325"/>
      <c r="D91" s="72"/>
      <c r="E91" s="20"/>
      <c r="F91" s="21"/>
      <c r="G91" s="22"/>
      <c r="H91" s="23"/>
      <c r="I91" s="2"/>
      <c r="J91" s="2"/>
      <c r="K91" s="324"/>
      <c r="L91" s="324"/>
      <c r="M91" s="1"/>
      <c r="N91" s="1"/>
      <c r="O91" s="1"/>
      <c r="P91" s="1"/>
      <c r="Q91" s="1"/>
      <c r="R91" s="1"/>
      <c r="S91" s="1"/>
      <c r="T91" s="1"/>
    </row>
    <row r="92" spans="1:20" s="80" customFormat="1" x14ac:dyDescent="0.2">
      <c r="A92" s="74"/>
      <c r="B92" s="325"/>
      <c r="C92" s="325"/>
      <c r="D92" s="72"/>
      <c r="E92" s="20"/>
      <c r="F92" s="21"/>
      <c r="G92" s="22"/>
      <c r="H92" s="23"/>
      <c r="I92" s="2"/>
      <c r="J92" s="2"/>
      <c r="K92" s="324"/>
      <c r="L92" s="324"/>
      <c r="M92" s="1"/>
      <c r="N92" s="1"/>
      <c r="O92" s="1"/>
      <c r="P92" s="1"/>
      <c r="Q92" s="1"/>
      <c r="R92" s="1"/>
      <c r="S92" s="1"/>
      <c r="T92" s="1"/>
    </row>
    <row r="93" spans="1:20" s="80" customFormat="1" x14ac:dyDescent="0.2">
      <c r="A93" s="74"/>
      <c r="B93" s="325"/>
      <c r="C93" s="325"/>
      <c r="D93" s="72"/>
      <c r="E93" s="20"/>
      <c r="F93" s="21"/>
      <c r="G93" s="22"/>
      <c r="H93" s="23"/>
      <c r="I93" s="2"/>
      <c r="J93" s="2"/>
      <c r="K93" s="324"/>
      <c r="L93" s="324"/>
      <c r="M93" s="1"/>
      <c r="N93" s="1"/>
      <c r="O93" s="1"/>
      <c r="P93" s="1"/>
      <c r="Q93" s="1"/>
      <c r="R93" s="1"/>
      <c r="S93" s="1"/>
      <c r="T93" s="1"/>
    </row>
    <row r="94" spans="1:20" s="80" customFormat="1" x14ac:dyDescent="0.2">
      <c r="A94" s="74"/>
      <c r="B94" s="325"/>
      <c r="C94" s="325"/>
      <c r="D94" s="72"/>
      <c r="E94" s="20"/>
      <c r="F94" s="21"/>
      <c r="G94" s="22"/>
      <c r="H94" s="23"/>
      <c r="I94" s="2"/>
      <c r="J94" s="2"/>
      <c r="K94" s="324"/>
      <c r="L94" s="324"/>
      <c r="M94" s="1"/>
      <c r="N94" s="1"/>
      <c r="O94" s="1"/>
      <c r="P94" s="1"/>
      <c r="Q94" s="1"/>
      <c r="R94" s="1"/>
      <c r="S94" s="1"/>
      <c r="T94" s="1"/>
    </row>
    <row r="95" spans="1:20" s="80" customFormat="1" x14ac:dyDescent="0.2">
      <c r="A95" s="74"/>
      <c r="B95" s="325"/>
      <c r="C95" s="325"/>
      <c r="D95" s="72"/>
      <c r="E95" s="20"/>
      <c r="F95" s="21"/>
      <c r="G95" s="22"/>
      <c r="H95" s="23"/>
      <c r="I95" s="2"/>
      <c r="J95" s="2"/>
      <c r="K95" s="324"/>
      <c r="L95" s="324"/>
      <c r="M95" s="1"/>
      <c r="N95" s="1"/>
      <c r="O95" s="1"/>
      <c r="P95" s="1"/>
      <c r="Q95" s="1"/>
      <c r="R95" s="1"/>
      <c r="S95" s="1"/>
      <c r="T95" s="1"/>
    </row>
    <row r="96" spans="1:20" s="80" customFormat="1" x14ac:dyDescent="0.2">
      <c r="A96" s="74"/>
      <c r="B96" s="325"/>
      <c r="C96" s="325"/>
      <c r="D96" s="72"/>
      <c r="E96" s="20"/>
      <c r="F96" s="21"/>
      <c r="G96" s="22"/>
      <c r="H96" s="23"/>
      <c r="I96" s="2"/>
      <c r="J96" s="2"/>
      <c r="K96" s="324"/>
      <c r="L96" s="324"/>
      <c r="M96" s="1"/>
      <c r="N96" s="1"/>
      <c r="O96" s="1"/>
      <c r="P96" s="1"/>
      <c r="Q96" s="1"/>
      <c r="R96" s="1"/>
      <c r="S96" s="1"/>
      <c r="T96" s="1"/>
    </row>
    <row r="97" spans="1:20" s="80" customFormat="1" x14ac:dyDescent="0.2">
      <c r="A97" s="74"/>
      <c r="B97" s="325"/>
      <c r="C97" s="325"/>
      <c r="D97" s="72"/>
      <c r="E97" s="20"/>
      <c r="F97" s="21"/>
      <c r="G97" s="22"/>
      <c r="H97" s="23"/>
      <c r="I97" s="2"/>
      <c r="J97" s="2"/>
      <c r="K97" s="324"/>
      <c r="L97" s="324"/>
      <c r="M97" s="1"/>
      <c r="N97" s="1"/>
      <c r="O97" s="1"/>
      <c r="P97" s="1"/>
      <c r="Q97" s="1"/>
      <c r="R97" s="1"/>
      <c r="S97" s="1"/>
      <c r="T97" s="1"/>
    </row>
    <row r="98" spans="1:20" s="80" customFormat="1" x14ac:dyDescent="0.2">
      <c r="A98" s="74"/>
      <c r="B98" s="325"/>
      <c r="C98" s="325"/>
      <c r="D98" s="72"/>
      <c r="E98" s="20"/>
      <c r="F98" s="21"/>
      <c r="G98" s="22"/>
      <c r="H98" s="23"/>
      <c r="I98" s="2"/>
      <c r="J98" s="2"/>
      <c r="K98" s="324"/>
      <c r="L98" s="324"/>
      <c r="M98" s="1"/>
      <c r="N98" s="1"/>
      <c r="O98" s="1"/>
      <c r="P98" s="1"/>
      <c r="Q98" s="1"/>
      <c r="R98" s="1"/>
      <c r="S98" s="1"/>
      <c r="T98" s="1"/>
    </row>
    <row r="99" spans="1:20" s="80" customFormat="1" x14ac:dyDescent="0.2">
      <c r="A99" s="74"/>
      <c r="B99" s="325"/>
      <c r="C99" s="325"/>
      <c r="D99" s="72"/>
      <c r="E99" s="20"/>
      <c r="F99" s="21"/>
      <c r="G99" s="22"/>
      <c r="H99" s="23"/>
      <c r="I99" s="2"/>
      <c r="J99" s="2"/>
      <c r="K99" s="324"/>
      <c r="L99" s="324"/>
      <c r="M99" s="1"/>
      <c r="N99" s="1"/>
      <c r="O99" s="1"/>
      <c r="P99" s="1"/>
      <c r="Q99" s="1"/>
      <c r="R99" s="1"/>
      <c r="S99" s="1"/>
      <c r="T99" s="1"/>
    </row>
    <row r="100" spans="1:20" s="80" customFormat="1" x14ac:dyDescent="0.2">
      <c r="A100" s="74"/>
      <c r="B100" s="325"/>
      <c r="C100" s="325"/>
      <c r="D100" s="72"/>
      <c r="E100" s="20"/>
      <c r="F100" s="21"/>
      <c r="G100" s="22"/>
      <c r="H100" s="23"/>
      <c r="I100" s="2"/>
      <c r="J100" s="2"/>
      <c r="K100" s="324"/>
      <c r="L100" s="324"/>
      <c r="M100" s="1"/>
      <c r="N100" s="1"/>
      <c r="O100" s="1"/>
      <c r="P100" s="1"/>
      <c r="Q100" s="1"/>
      <c r="R100" s="1"/>
      <c r="S100" s="1"/>
      <c r="T100" s="1"/>
    </row>
    <row r="101" spans="1:20" s="80" customFormat="1" x14ac:dyDescent="0.2">
      <c r="A101" s="74"/>
      <c r="B101" s="325"/>
      <c r="C101" s="325"/>
      <c r="D101" s="72"/>
      <c r="E101" s="20"/>
      <c r="F101" s="21"/>
      <c r="G101" s="22"/>
      <c r="H101" s="23"/>
      <c r="I101" s="2"/>
      <c r="J101" s="2"/>
      <c r="K101" s="324"/>
      <c r="L101" s="324"/>
      <c r="M101" s="1"/>
      <c r="N101" s="1"/>
      <c r="O101" s="1"/>
      <c r="P101" s="1"/>
      <c r="Q101" s="1"/>
      <c r="R101" s="1"/>
      <c r="S101" s="1"/>
      <c r="T101" s="1"/>
    </row>
    <row r="102" spans="1:20" s="80" customFormat="1" x14ac:dyDescent="0.2">
      <c r="A102" s="74"/>
      <c r="B102" s="325"/>
      <c r="C102" s="325"/>
      <c r="D102" s="72"/>
      <c r="E102" s="20"/>
      <c r="F102" s="21"/>
      <c r="G102" s="22"/>
      <c r="H102" s="23"/>
      <c r="I102" s="2"/>
      <c r="J102" s="2"/>
      <c r="K102" s="324"/>
      <c r="L102" s="324"/>
      <c r="M102" s="1"/>
      <c r="N102" s="1"/>
      <c r="O102" s="1"/>
      <c r="P102" s="1"/>
      <c r="Q102" s="1"/>
      <c r="R102" s="1"/>
      <c r="S102" s="1"/>
      <c r="T102" s="1"/>
    </row>
    <row r="103" spans="1:20" x14ac:dyDescent="0.2">
      <c r="A103" s="74"/>
      <c r="B103" s="325"/>
      <c r="C103" s="325"/>
      <c r="D103" s="72"/>
      <c r="E103" s="20"/>
      <c r="F103" s="21"/>
      <c r="G103" s="22"/>
      <c r="H103" s="23"/>
      <c r="I103" s="2"/>
      <c r="J103" s="2"/>
      <c r="K103" s="324"/>
      <c r="L103" s="324"/>
    </row>
    <row r="104" spans="1:20" x14ac:dyDescent="0.2">
      <c r="A104" s="74"/>
      <c r="B104" s="325"/>
      <c r="C104" s="325"/>
      <c r="D104" s="72"/>
      <c r="E104" s="20"/>
      <c r="F104" s="21"/>
      <c r="G104" s="22"/>
      <c r="H104" s="23"/>
      <c r="I104" s="2"/>
      <c r="J104" s="2"/>
      <c r="K104" s="324"/>
      <c r="L104" s="324"/>
    </row>
    <row r="105" spans="1:20" x14ac:dyDescent="0.2">
      <c r="A105" s="74"/>
      <c r="B105" s="325"/>
      <c r="C105" s="325"/>
      <c r="D105" s="72"/>
      <c r="E105" s="20"/>
      <c r="F105" s="21"/>
      <c r="G105" s="22"/>
      <c r="H105" s="23"/>
      <c r="I105" s="2"/>
      <c r="J105" s="2"/>
      <c r="K105" s="324"/>
      <c r="L105" s="324"/>
    </row>
    <row r="106" spans="1:20" x14ac:dyDescent="0.2">
      <c r="A106" s="74"/>
      <c r="B106" s="325"/>
      <c r="C106" s="325"/>
      <c r="D106" s="72"/>
      <c r="E106" s="20"/>
      <c r="F106" s="21"/>
      <c r="G106" s="22"/>
      <c r="H106" s="23"/>
      <c r="I106" s="2"/>
      <c r="J106" s="2"/>
      <c r="K106" s="324"/>
      <c r="L106" s="324"/>
    </row>
    <row r="107" spans="1:20" x14ac:dyDescent="0.2">
      <c r="A107" s="74"/>
      <c r="B107" s="325"/>
      <c r="C107" s="325"/>
      <c r="D107" s="72"/>
      <c r="E107" s="20"/>
      <c r="F107" s="21"/>
      <c r="G107" s="22"/>
      <c r="H107" s="23"/>
      <c r="I107" s="2"/>
      <c r="J107" s="2"/>
      <c r="K107" s="324"/>
      <c r="L107" s="324"/>
    </row>
    <row r="108" spans="1:20" x14ac:dyDescent="0.2">
      <c r="A108" s="74"/>
      <c r="B108" s="325"/>
      <c r="C108" s="325"/>
      <c r="D108" s="72"/>
      <c r="E108" s="20"/>
      <c r="F108" s="21"/>
      <c r="G108" s="22"/>
      <c r="H108" s="23"/>
      <c r="I108" s="2"/>
      <c r="J108" s="2"/>
      <c r="K108" s="324"/>
      <c r="L108" s="324"/>
    </row>
    <row r="109" spans="1:20" x14ac:dyDescent="0.2">
      <c r="A109" s="74"/>
      <c r="B109" s="325"/>
      <c r="C109" s="325"/>
      <c r="D109" s="72"/>
      <c r="E109" s="20"/>
      <c r="F109" s="21"/>
      <c r="G109" s="22"/>
      <c r="H109" s="23"/>
      <c r="I109" s="2"/>
      <c r="J109" s="2"/>
      <c r="K109" s="324"/>
      <c r="L109" s="324"/>
    </row>
    <row r="110" spans="1:20" x14ac:dyDescent="0.2">
      <c r="A110" s="25"/>
      <c r="B110" s="75"/>
      <c r="C110" s="75"/>
      <c r="D110" s="31"/>
      <c r="E110" s="2"/>
      <c r="F110" s="26"/>
      <c r="G110" s="22"/>
      <c r="H110" s="23"/>
      <c r="I110" s="2"/>
      <c r="J110" s="2"/>
      <c r="K110" s="324"/>
      <c r="L110" s="324"/>
    </row>
    <row r="111" spans="1:20" x14ac:dyDescent="0.2">
      <c r="A111" s="25"/>
      <c r="B111" s="76"/>
      <c r="C111" s="76"/>
      <c r="D111" s="31"/>
      <c r="E111" s="2"/>
      <c r="F111" s="26"/>
      <c r="G111" s="22"/>
      <c r="H111" s="23"/>
      <c r="I111" s="2"/>
      <c r="J111" s="2"/>
      <c r="K111" s="324"/>
      <c r="L111" s="324"/>
    </row>
    <row r="112" spans="1:20" x14ac:dyDescent="0.2">
      <c r="A112" s="25"/>
      <c r="B112" s="326"/>
      <c r="C112" s="326"/>
      <c r="D112" s="31"/>
      <c r="E112" s="73"/>
      <c r="F112" s="77"/>
      <c r="G112" s="78"/>
      <c r="H112" s="78"/>
      <c r="I112" s="78"/>
      <c r="J112" s="2"/>
      <c r="K112" s="324"/>
      <c r="L112" s="324"/>
    </row>
    <row r="113" spans="1:12" x14ac:dyDescent="0.2">
      <c r="A113" s="25"/>
      <c r="B113" s="27"/>
      <c r="C113" s="27"/>
      <c r="D113" s="31"/>
      <c r="E113" s="73"/>
      <c r="F113" s="77"/>
      <c r="G113" s="78"/>
      <c r="H113" s="78"/>
      <c r="I113" s="78"/>
      <c r="J113" s="2"/>
      <c r="K113" s="324"/>
      <c r="L113" s="324"/>
    </row>
    <row r="114" spans="1:12" x14ac:dyDescent="0.2">
      <c r="A114" s="25"/>
      <c r="B114" s="27"/>
      <c r="C114" s="27"/>
      <c r="D114" s="79"/>
      <c r="E114" s="73"/>
      <c r="F114" s="77"/>
      <c r="G114" s="78"/>
      <c r="H114" s="78"/>
      <c r="I114" s="78"/>
      <c r="J114" s="2"/>
      <c r="K114" s="324"/>
      <c r="L114" s="324"/>
    </row>
    <row r="115" spans="1:12" x14ac:dyDescent="0.2">
      <c r="A115" s="25"/>
      <c r="B115" s="27"/>
      <c r="C115" s="27"/>
      <c r="E115" s="73"/>
      <c r="F115" s="77"/>
      <c r="G115" s="78"/>
      <c r="H115" s="78"/>
      <c r="I115" s="78"/>
      <c r="J115" s="34"/>
      <c r="K115" s="324"/>
      <c r="L115" s="324"/>
    </row>
    <row r="116" spans="1:12" x14ac:dyDescent="0.2">
      <c r="A116" s="25"/>
      <c r="B116" s="27"/>
      <c r="C116" s="27"/>
      <c r="D116" s="348"/>
      <c r="E116" s="27"/>
      <c r="F116" s="35"/>
      <c r="G116" s="30"/>
      <c r="H116" s="35"/>
      <c r="I116" s="34"/>
      <c r="J116" s="34"/>
      <c r="K116" s="324"/>
      <c r="L116" s="324"/>
    </row>
    <row r="117" spans="1:12" x14ac:dyDescent="0.2">
      <c r="A117" s="25"/>
      <c r="D117" s="348"/>
      <c r="E117" s="30"/>
      <c r="F117" s="35"/>
      <c r="G117" s="30"/>
      <c r="H117" s="35"/>
      <c r="I117" s="34"/>
      <c r="J117" s="34"/>
      <c r="K117" s="324"/>
      <c r="L117" s="324"/>
    </row>
    <row r="118" spans="1:12" x14ac:dyDescent="0.2">
      <c r="A118" s="25"/>
      <c r="B118" s="27"/>
      <c r="C118" s="27"/>
      <c r="E118" s="28"/>
      <c r="F118" s="33"/>
      <c r="G118" s="28"/>
      <c r="H118" s="33"/>
      <c r="I118" s="2"/>
      <c r="J118" s="34"/>
      <c r="K118" s="324"/>
      <c r="L118" s="324"/>
    </row>
    <row r="119" spans="1:12" x14ac:dyDescent="0.2">
      <c r="A119" s="25"/>
      <c r="E119" s="37"/>
      <c r="F119" s="24"/>
      <c r="G119" s="28"/>
      <c r="H119" s="24"/>
      <c r="I119" s="2"/>
      <c r="J119" s="2"/>
      <c r="K119" s="324"/>
      <c r="L119" s="324"/>
    </row>
    <row r="120" spans="1:12" x14ac:dyDescent="0.2">
      <c r="A120" s="25"/>
      <c r="B120" s="27"/>
      <c r="C120" s="27"/>
      <c r="D120" s="348"/>
      <c r="E120" s="30"/>
      <c r="F120" s="35"/>
      <c r="G120" s="30"/>
      <c r="H120" s="35"/>
      <c r="I120" s="34"/>
      <c r="J120" s="34"/>
      <c r="K120" s="324"/>
      <c r="L120" s="324"/>
    </row>
    <row r="121" spans="1:12" x14ac:dyDescent="0.2">
      <c r="A121" s="38"/>
      <c r="B121" s="38"/>
      <c r="C121" s="38"/>
      <c r="D121" s="39"/>
      <c r="E121" s="38"/>
      <c r="F121" s="40"/>
      <c r="G121" s="41"/>
      <c r="H121" s="38"/>
      <c r="I121" s="38"/>
    </row>
    <row r="122" spans="1:12" x14ac:dyDescent="0.2">
      <c r="A122" s="38"/>
      <c r="B122" s="38"/>
      <c r="C122" s="38"/>
      <c r="D122" s="39"/>
      <c r="E122" s="38"/>
      <c r="F122" s="40"/>
      <c r="G122" s="41"/>
      <c r="H122" s="38"/>
      <c r="I122" s="38"/>
    </row>
    <row r="123" spans="1:12" x14ac:dyDescent="0.2">
      <c r="A123" s="38"/>
      <c r="B123" s="38"/>
      <c r="C123" s="38"/>
      <c r="D123" s="348"/>
      <c r="E123" s="27"/>
      <c r="F123" s="43"/>
      <c r="G123" s="27"/>
      <c r="H123" s="27"/>
      <c r="I123" s="44"/>
    </row>
    <row r="124" spans="1:12" x14ac:dyDescent="0.2">
      <c r="D124" s="348"/>
      <c r="E124" s="27"/>
      <c r="F124" s="45"/>
      <c r="G124" s="27"/>
      <c r="H124" s="46"/>
      <c r="I124" s="27"/>
    </row>
    <row r="125" spans="1:12" x14ac:dyDescent="0.2">
      <c r="D125" s="348"/>
      <c r="E125" s="27"/>
      <c r="F125" s="43"/>
      <c r="G125" s="27"/>
      <c r="H125" s="27"/>
      <c r="I125" s="27"/>
    </row>
    <row r="126" spans="1:12" x14ac:dyDescent="0.2">
      <c r="D126" s="348"/>
      <c r="E126" s="27"/>
      <c r="F126" s="43"/>
      <c r="G126" s="27"/>
      <c r="H126" s="27"/>
      <c r="I126" s="27"/>
    </row>
    <row r="127" spans="1:12" x14ac:dyDescent="0.2">
      <c r="D127" s="348"/>
      <c r="E127" s="27"/>
      <c r="F127" s="43"/>
      <c r="G127" s="27"/>
      <c r="H127" s="27"/>
      <c r="I127" s="27"/>
    </row>
  </sheetData>
  <sheetProtection algorithmName="SHA-512" hashValue="j8zKGMehGWowshvcmiehj9A8fCDe2+FR5rT8NLw65XhWu6qlUgjoa57lQWQdaeWvgG/Av8NKLeRfg2j62t294w==" saltValue="lwL0SC69oKb/5LjBgeEafw==" spinCount="100000" sheet="1" objects="1" scenarios="1"/>
  <mergeCells count="96">
    <mergeCell ref="A6:A7"/>
    <mergeCell ref="B6:C7"/>
    <mergeCell ref="D6:D7"/>
    <mergeCell ref="E6:E7"/>
    <mergeCell ref="F6:G6"/>
    <mergeCell ref="B16:C16"/>
    <mergeCell ref="L6:M6"/>
    <mergeCell ref="N6:O6"/>
    <mergeCell ref="P6:Q6"/>
    <mergeCell ref="B8:C8"/>
    <mergeCell ref="B9:C9"/>
    <mergeCell ref="B10:C10"/>
    <mergeCell ref="H6:I6"/>
    <mergeCell ref="J6:K6"/>
    <mergeCell ref="B11:C11"/>
    <mergeCell ref="B12:C12"/>
    <mergeCell ref="B13:C13"/>
    <mergeCell ref="B14:C14"/>
    <mergeCell ref="B15:C15"/>
    <mergeCell ref="A17:A20"/>
    <mergeCell ref="B17:B20"/>
    <mergeCell ref="D17:D20"/>
    <mergeCell ref="E17:E20"/>
    <mergeCell ref="G17:G20"/>
    <mergeCell ref="A24:A27"/>
    <mergeCell ref="B24:B27"/>
    <mergeCell ref="D24:D27"/>
    <mergeCell ref="E24:E27"/>
    <mergeCell ref="F24:F27"/>
    <mergeCell ref="N24:N27"/>
    <mergeCell ref="O24:O27"/>
    <mergeCell ref="O17:O20"/>
    <mergeCell ref="B21:C21"/>
    <mergeCell ref="B22:C22"/>
    <mergeCell ref="B23:C23"/>
    <mergeCell ref="G24:G27"/>
    <mergeCell ref="I17:I20"/>
    <mergeCell ref="J17:J20"/>
    <mergeCell ref="K17:K20"/>
    <mergeCell ref="L17:L20"/>
    <mergeCell ref="M17:M20"/>
    <mergeCell ref="N17:N20"/>
    <mergeCell ref="H17:H20"/>
    <mergeCell ref="B33:C33"/>
    <mergeCell ref="H24:H27"/>
    <mergeCell ref="I24:I27"/>
    <mergeCell ref="J24:J27"/>
    <mergeCell ref="K24:K27"/>
    <mergeCell ref="B28:C28"/>
    <mergeCell ref="B29:C29"/>
    <mergeCell ref="B30:C30"/>
    <mergeCell ref="B31:C31"/>
    <mergeCell ref="B32:C32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57:C57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69:C69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3:T4"/>
    <mergeCell ref="R6:S6"/>
    <mergeCell ref="T6:U6"/>
    <mergeCell ref="V6:W6"/>
    <mergeCell ref="X6:Y6"/>
    <mergeCell ref="W1:Y3"/>
    <mergeCell ref="W5:Y5"/>
  </mergeCells>
  <printOptions horizontalCentered="1" verticalCentered="1"/>
  <pageMargins left="0.6692913385826772" right="0" top="0.23622047244094491" bottom="0" header="7.874015748031496E-2" footer="7.874015748031496E-2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2"/>
  <sheetViews>
    <sheetView topLeftCell="A13" zoomScale="115" zoomScaleNormal="115" workbookViewId="0">
      <selection activeCell="F25" sqref="F25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2.5" style="583" customWidth="1"/>
    <col min="10" max="10" width="10" style="583" customWidth="1"/>
    <col min="11" max="11" width="13.5" style="583" customWidth="1"/>
    <col min="12" max="12" width="14" style="583" customWidth="1"/>
    <col min="13" max="14" width="9" style="583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005" t="s">
        <v>163</v>
      </c>
      <c r="H1" s="1005"/>
      <c r="I1" s="1005"/>
      <c r="M1" s="734"/>
      <c r="N1" s="734"/>
    </row>
    <row r="2" spans="1:22" ht="14.25" x14ac:dyDescent="0.2">
      <c r="A2" s="605"/>
      <c r="B2" s="605"/>
      <c r="C2" s="605"/>
      <c r="D2" s="605"/>
      <c r="E2" s="605"/>
      <c r="F2" s="605"/>
      <c r="G2" s="1005"/>
      <c r="H2" s="1005"/>
      <c r="I2" s="1005"/>
      <c r="L2" s="734"/>
      <c r="M2" s="734"/>
      <c r="N2" s="734"/>
    </row>
    <row r="3" spans="1:22" ht="14.25" x14ac:dyDescent="0.2">
      <c r="A3" s="605"/>
      <c r="B3" s="605"/>
      <c r="C3" s="605"/>
      <c r="D3" s="605"/>
      <c r="E3" s="605"/>
      <c r="F3" s="605"/>
      <c r="G3" s="1005"/>
      <c r="H3" s="1005"/>
      <c r="I3" s="1005"/>
      <c r="L3" s="734"/>
      <c r="M3" s="734"/>
      <c r="N3" s="734"/>
    </row>
    <row r="4" spans="1:22" ht="15" x14ac:dyDescent="0.25">
      <c r="A4" s="639"/>
      <c r="B4" s="639"/>
      <c r="C4" s="1111" t="s">
        <v>117</v>
      </c>
      <c r="D4" s="1111"/>
      <c r="E4" s="1111"/>
      <c r="F4" s="1111"/>
      <c r="G4" s="1111"/>
      <c r="H4" s="1111"/>
      <c r="I4" s="1111"/>
    </row>
    <row r="5" spans="1:22" ht="15" x14ac:dyDescent="0.25">
      <c r="A5" s="639"/>
      <c r="B5" s="639"/>
      <c r="C5" s="1111" t="s">
        <v>100</v>
      </c>
      <c r="D5" s="1111"/>
      <c r="E5" s="1111"/>
      <c r="F5" s="1111"/>
      <c r="G5" s="1111"/>
      <c r="H5" s="1111"/>
      <c r="I5" s="1111"/>
    </row>
    <row r="6" spans="1:22" ht="15" x14ac:dyDescent="0.25">
      <c r="A6" s="617"/>
      <c r="B6" s="1112" t="s">
        <v>161</v>
      </c>
      <c r="C6" s="1112"/>
      <c r="D6" s="1112"/>
      <c r="E6" s="1112"/>
      <c r="F6" s="1112"/>
      <c r="G6" s="1112"/>
      <c r="H6" s="1112"/>
      <c r="I6" s="1112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132" t="s">
        <v>118</v>
      </c>
      <c r="H7" s="1132"/>
      <c r="I7" s="1132"/>
      <c r="J7" s="641"/>
      <c r="K7" s="584"/>
    </row>
    <row r="8" spans="1:22" x14ac:dyDescent="0.2">
      <c r="A8" s="1113" t="s">
        <v>0</v>
      </c>
      <c r="B8" s="1115" t="s">
        <v>8</v>
      </c>
      <c r="C8" s="1116"/>
      <c r="D8" s="1119" t="s">
        <v>20</v>
      </c>
      <c r="E8" s="1121" t="s">
        <v>21</v>
      </c>
      <c r="F8" s="1123" t="s">
        <v>162</v>
      </c>
      <c r="G8" s="1124"/>
      <c r="H8" s="1133" t="s">
        <v>101</v>
      </c>
      <c r="I8" s="1134"/>
      <c r="J8" s="1125"/>
      <c r="K8" s="1125"/>
    </row>
    <row r="9" spans="1:22" ht="13.5" thickBot="1" x14ac:dyDescent="0.25">
      <c r="A9" s="1114"/>
      <c r="B9" s="1117"/>
      <c r="C9" s="1118"/>
      <c r="D9" s="1120"/>
      <c r="E9" s="1122"/>
      <c r="F9" s="642" t="s">
        <v>26</v>
      </c>
      <c r="G9" s="643" t="s">
        <v>6</v>
      </c>
      <c r="H9" s="642" t="s">
        <v>26</v>
      </c>
      <c r="I9" s="643" t="s">
        <v>6</v>
      </c>
      <c r="J9" s="644"/>
      <c r="K9" s="644"/>
    </row>
    <row r="10" spans="1:22" ht="13.5" thickBot="1" x14ac:dyDescent="0.25">
      <c r="A10" s="737" t="s">
        <v>27</v>
      </c>
      <c r="B10" s="1126" t="s">
        <v>28</v>
      </c>
      <c r="C10" s="1127"/>
      <c r="D10" s="738">
        <v>1</v>
      </c>
      <c r="E10" s="739">
        <v>2</v>
      </c>
      <c r="F10" s="740">
        <v>3</v>
      </c>
      <c r="G10" s="741">
        <v>4</v>
      </c>
      <c r="H10" s="740">
        <v>5</v>
      </c>
      <c r="I10" s="741">
        <v>6</v>
      </c>
      <c r="J10" s="645"/>
      <c r="K10" s="645"/>
    </row>
    <row r="11" spans="1:22" ht="13.5" thickBot="1" x14ac:dyDescent="0.25">
      <c r="A11" s="585">
        <v>1</v>
      </c>
      <c r="B11" s="1128" t="s">
        <v>29</v>
      </c>
      <c r="C11" s="1129"/>
      <c r="D11" s="680" t="s">
        <v>30</v>
      </c>
      <c r="E11" s="702">
        <v>94250</v>
      </c>
      <c r="F11" s="660">
        <f>Тодотгол_2023_хавсралт_2!F11</f>
        <v>122.80000000000001</v>
      </c>
      <c r="G11" s="712">
        <f>$E11*F11</f>
        <v>11573900.000000002</v>
      </c>
      <c r="H11" s="660">
        <f>F11</f>
        <v>122.80000000000001</v>
      </c>
      <c r="I11" s="712">
        <f>H11*$E$11</f>
        <v>11573900.000000002</v>
      </c>
      <c r="J11" s="638"/>
      <c r="K11" s="636"/>
      <c r="L11" s="636"/>
      <c r="M11" s="638"/>
      <c r="N11" s="638"/>
      <c r="O11" s="638"/>
      <c r="P11" s="638"/>
    </row>
    <row r="12" spans="1:22" ht="13.5" thickBot="1" x14ac:dyDescent="0.25">
      <c r="A12" s="587">
        <v>2</v>
      </c>
      <c r="B12" s="1130" t="s">
        <v>35</v>
      </c>
      <c r="C12" s="1131"/>
      <c r="D12" s="681"/>
      <c r="E12" s="588"/>
      <c r="F12" s="589"/>
      <c r="G12" s="653">
        <f>G11</f>
        <v>11573900.000000002</v>
      </c>
      <c r="H12" s="657"/>
      <c r="I12" s="653">
        <f>SUM(I11:I11)</f>
        <v>11573900.000000002</v>
      </c>
      <c r="J12" s="638"/>
      <c r="K12" s="634"/>
      <c r="L12" s="636"/>
      <c r="M12" s="638"/>
      <c r="N12" s="638"/>
      <c r="O12" s="638"/>
      <c r="P12" s="638"/>
    </row>
    <row r="13" spans="1:22" ht="13.5" thickBot="1" x14ac:dyDescent="0.25">
      <c r="A13" s="590">
        <v>3</v>
      </c>
      <c r="B13" s="1164" t="s">
        <v>41</v>
      </c>
      <c r="C13" s="1165"/>
      <c r="D13" s="682" t="s">
        <v>40</v>
      </c>
      <c r="E13" s="647">
        <v>55000</v>
      </c>
      <c r="F13" s="652"/>
      <c r="G13" s="690">
        <f>$E13*F13</f>
        <v>0</v>
      </c>
      <c r="H13" s="657"/>
      <c r="I13" s="690">
        <f>H13*$E13</f>
        <v>0</v>
      </c>
      <c r="J13" s="638"/>
      <c r="K13" s="636"/>
      <c r="L13" s="636"/>
      <c r="M13" s="638"/>
      <c r="N13" s="638"/>
      <c r="O13" s="638"/>
      <c r="P13" s="638"/>
    </row>
    <row r="14" spans="1:22" ht="13.5" thickBot="1" x14ac:dyDescent="0.25">
      <c r="A14" s="587">
        <v>4</v>
      </c>
      <c r="B14" s="1166" t="s">
        <v>42</v>
      </c>
      <c r="C14" s="1167"/>
      <c r="D14" s="683"/>
      <c r="E14" s="703"/>
      <c r="F14" s="713"/>
      <c r="G14" s="714">
        <f>SUM(G13:G13)</f>
        <v>0</v>
      </c>
      <c r="H14" s="660"/>
      <c r="I14" s="714">
        <f>SUM(I13:I13)</f>
        <v>0</v>
      </c>
      <c r="J14" s="638"/>
      <c r="K14" s="634"/>
      <c r="L14" s="636"/>
      <c r="M14" s="638"/>
      <c r="N14" s="638"/>
      <c r="O14" s="638"/>
      <c r="P14" s="638"/>
    </row>
    <row r="15" spans="1:22" s="593" customFormat="1" ht="13.5" thickBot="1" x14ac:dyDescent="0.25">
      <c r="A15" s="587">
        <v>5</v>
      </c>
      <c r="B15" s="1163" t="s">
        <v>49</v>
      </c>
      <c r="C15" s="1163"/>
      <c r="D15" s="735"/>
      <c r="E15" s="704"/>
      <c r="F15" s="715"/>
      <c r="G15" s="689">
        <f>SUM(G14)</f>
        <v>0</v>
      </c>
      <c r="H15" s="657"/>
      <c r="I15" s="689">
        <f>SUM(I14)</f>
        <v>0</v>
      </c>
      <c r="J15" s="638"/>
      <c r="K15" s="649"/>
      <c r="L15" s="636"/>
      <c r="M15" s="638"/>
      <c r="N15" s="638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57" t="s">
        <v>52</v>
      </c>
      <c r="C16" s="1158"/>
      <c r="D16" s="586" t="s">
        <v>53</v>
      </c>
      <c r="E16" s="705">
        <f>92811*0.1+92811</f>
        <v>102092.1</v>
      </c>
      <c r="F16" s="716">
        <f>Тодотгол_2023_хавсралт_2!F16/9</f>
        <v>10</v>
      </c>
      <c r="G16" s="717">
        <f t="shared" ref="G16:G22" si="0">$E16*F16</f>
        <v>1020921</v>
      </c>
      <c r="H16" s="598">
        <f>F16</f>
        <v>10</v>
      </c>
      <c r="I16" s="717">
        <f t="shared" ref="I16:I22" si="1">H16*$E16</f>
        <v>1020921</v>
      </c>
      <c r="J16" s="638"/>
      <c r="K16" s="636"/>
      <c r="L16" s="636"/>
      <c r="M16" s="638"/>
      <c r="N16" s="638"/>
      <c r="O16" s="638"/>
      <c r="P16" s="638"/>
    </row>
    <row r="17" spans="1:16" ht="27.75" customHeight="1" x14ac:dyDescent="0.25">
      <c r="A17" s="594">
        <v>7</v>
      </c>
      <c r="B17" s="1159" t="s">
        <v>54</v>
      </c>
      <c r="C17" s="1160"/>
      <c r="D17" s="595" t="s">
        <v>53</v>
      </c>
      <c r="E17" s="650">
        <f>92846*0.1+92846</f>
        <v>102130.6</v>
      </c>
      <c r="F17" s="718">
        <f>Тодотгол_2023_хавсралт_2!F17/8</f>
        <v>45</v>
      </c>
      <c r="G17" s="719">
        <f t="shared" si="0"/>
        <v>4595877</v>
      </c>
      <c r="H17" s="596">
        <f t="shared" ref="H17:H22" si="2">F17</f>
        <v>45</v>
      </c>
      <c r="I17" s="719">
        <f t="shared" si="1"/>
        <v>4595877</v>
      </c>
      <c r="J17" s="638"/>
      <c r="K17" s="636"/>
      <c r="L17" s="636"/>
      <c r="M17" s="638"/>
      <c r="N17" s="638"/>
      <c r="O17" s="638"/>
      <c r="P17" s="638"/>
    </row>
    <row r="18" spans="1:16" ht="15" x14ac:dyDescent="0.25">
      <c r="A18" s="594">
        <v>8</v>
      </c>
      <c r="B18" s="1159" t="s">
        <v>55</v>
      </c>
      <c r="C18" s="1160"/>
      <c r="D18" s="595" t="s">
        <v>33</v>
      </c>
      <c r="E18" s="650">
        <v>4000000</v>
      </c>
      <c r="F18" s="718">
        <f>Тодотгол_2023_хавсралт_2!F18/8</f>
        <v>1.375</v>
      </c>
      <c r="G18" s="719">
        <f t="shared" si="0"/>
        <v>5500000</v>
      </c>
      <c r="H18" s="596">
        <f t="shared" si="2"/>
        <v>1.375</v>
      </c>
      <c r="I18" s="719">
        <f t="shared" si="1"/>
        <v>5500000</v>
      </c>
      <c r="J18" s="638"/>
      <c r="K18" s="636"/>
      <c r="L18" s="636"/>
      <c r="M18" s="638"/>
      <c r="N18" s="638"/>
      <c r="O18" s="638"/>
      <c r="P18" s="638"/>
    </row>
    <row r="19" spans="1:16" ht="28.5" customHeight="1" x14ac:dyDescent="0.25">
      <c r="A19" s="594">
        <v>9</v>
      </c>
      <c r="B19" s="1161" t="s">
        <v>56</v>
      </c>
      <c r="C19" s="1162"/>
      <c r="D19" s="595" t="s">
        <v>33</v>
      </c>
      <c r="E19" s="650">
        <v>4000000</v>
      </c>
      <c r="F19" s="718">
        <f>Тодотгол_2023_хавсралт_2!F19/8</f>
        <v>5.125</v>
      </c>
      <c r="G19" s="719">
        <f t="shared" si="0"/>
        <v>20500000</v>
      </c>
      <c r="H19" s="596">
        <f t="shared" si="2"/>
        <v>5.125</v>
      </c>
      <c r="I19" s="719">
        <f t="shared" si="1"/>
        <v>20500000</v>
      </c>
      <c r="J19" s="638"/>
      <c r="K19" s="636"/>
      <c r="L19" s="636"/>
      <c r="M19" s="638"/>
      <c r="N19" s="638"/>
      <c r="O19" s="638"/>
      <c r="P19" s="638"/>
    </row>
    <row r="20" spans="1:16" ht="24" customHeight="1" x14ac:dyDescent="0.2">
      <c r="A20" s="594">
        <v>10</v>
      </c>
      <c r="B20" s="1159" t="s">
        <v>57</v>
      </c>
      <c r="C20" s="1160"/>
      <c r="D20" s="595" t="s">
        <v>53</v>
      </c>
      <c r="E20" s="650">
        <f>92846</f>
        <v>92846</v>
      </c>
      <c r="F20" s="720">
        <f>Тодотгол_2023_хавсралт_2!F20/9</f>
        <v>113</v>
      </c>
      <c r="G20" s="719">
        <f t="shared" si="0"/>
        <v>10491598</v>
      </c>
      <c r="H20" s="596">
        <f t="shared" si="2"/>
        <v>113</v>
      </c>
      <c r="I20" s="719">
        <f t="shared" si="1"/>
        <v>10491598</v>
      </c>
      <c r="J20" s="638"/>
      <c r="K20" s="636"/>
      <c r="L20" s="636"/>
      <c r="M20" s="638"/>
      <c r="N20" s="638"/>
      <c r="O20" s="638"/>
      <c r="P20" s="638"/>
    </row>
    <row r="21" spans="1:16" x14ac:dyDescent="0.2">
      <c r="A21" s="594">
        <v>11</v>
      </c>
      <c r="B21" s="1161" t="s">
        <v>16</v>
      </c>
      <c r="C21" s="1162"/>
      <c r="D21" s="595" t="s">
        <v>58</v>
      </c>
      <c r="E21" s="650">
        <f>93160.75*0.1+93160.75</f>
        <v>102476.825</v>
      </c>
      <c r="F21" s="599"/>
      <c r="G21" s="719">
        <f t="shared" si="0"/>
        <v>0</v>
      </c>
      <c r="H21" s="596">
        <f t="shared" si="2"/>
        <v>0</v>
      </c>
      <c r="I21" s="719">
        <f t="shared" si="1"/>
        <v>0</v>
      </c>
      <c r="J21" s="638"/>
      <c r="K21" s="636"/>
      <c r="L21" s="636"/>
      <c r="M21" s="638"/>
      <c r="N21" s="638"/>
      <c r="O21" s="638"/>
      <c r="P21" s="638"/>
    </row>
    <row r="22" spans="1:16" ht="13.5" thickBot="1" x14ac:dyDescent="0.25">
      <c r="A22" s="591">
        <v>12</v>
      </c>
      <c r="B22" s="1153" t="s">
        <v>59</v>
      </c>
      <c r="C22" s="1154"/>
      <c r="D22" s="736" t="s">
        <v>60</v>
      </c>
      <c r="E22" s="648">
        <f>123810*0.1+123810</f>
        <v>136191</v>
      </c>
      <c r="F22" s="654"/>
      <c r="G22" s="721">
        <f t="shared" si="0"/>
        <v>0</v>
      </c>
      <c r="H22" s="596">
        <f t="shared" si="2"/>
        <v>0</v>
      </c>
      <c r="I22" s="721">
        <f t="shared" si="1"/>
        <v>0</v>
      </c>
      <c r="J22" s="638"/>
      <c r="K22" s="636"/>
      <c r="L22" s="636"/>
      <c r="M22" s="638"/>
      <c r="N22" s="638"/>
      <c r="O22" s="638"/>
      <c r="P22" s="638"/>
    </row>
    <row r="23" spans="1:16" ht="13.5" thickBot="1" x14ac:dyDescent="0.25">
      <c r="A23" s="585">
        <v>13</v>
      </c>
      <c r="B23" s="1155" t="s">
        <v>61</v>
      </c>
      <c r="C23" s="1156"/>
      <c r="D23" s="683"/>
      <c r="E23" s="706"/>
      <c r="F23" s="679"/>
      <c r="G23" s="653">
        <f>SUM(G16:G22)</f>
        <v>42108396</v>
      </c>
      <c r="H23" s="657"/>
      <c r="I23" s="653">
        <f>SUM(I16:I22)</f>
        <v>42108396</v>
      </c>
      <c r="J23" s="638"/>
      <c r="K23" s="634"/>
      <c r="L23" s="636"/>
      <c r="M23" s="638"/>
      <c r="N23" s="638"/>
      <c r="O23" s="638"/>
      <c r="P23" s="638"/>
    </row>
    <row r="24" spans="1:16" ht="13.5" thickBot="1" x14ac:dyDescent="0.25">
      <c r="A24" s="600">
        <v>14</v>
      </c>
      <c r="B24" s="1143" t="s">
        <v>84</v>
      </c>
      <c r="C24" s="1144"/>
      <c r="D24" s="686"/>
      <c r="E24" s="678"/>
      <c r="F24" s="722"/>
      <c r="G24" s="691">
        <f>G23+G12+G15</f>
        <v>53682296</v>
      </c>
      <c r="H24" s="655"/>
      <c r="I24" s="691">
        <f>I23+I12+I15</f>
        <v>53682296</v>
      </c>
      <c r="J24" s="638"/>
      <c r="K24" s="634"/>
      <c r="L24" s="636"/>
      <c r="M24" s="638"/>
      <c r="N24" s="638"/>
      <c r="O24" s="638"/>
      <c r="P24" s="638"/>
    </row>
    <row r="25" spans="1:16" x14ac:dyDescent="0.2">
      <c r="A25" s="693">
        <v>15</v>
      </c>
      <c r="B25" s="1139" t="s">
        <v>78</v>
      </c>
      <c r="C25" s="1140"/>
      <c r="D25" s="694" t="s">
        <v>79</v>
      </c>
      <c r="E25" s="646">
        <v>1500000</v>
      </c>
      <c r="F25" s="723">
        <v>1</v>
      </c>
      <c r="G25" s="695">
        <f>$E25*F25</f>
        <v>1500000</v>
      </c>
      <c r="H25" s="727">
        <f>F25</f>
        <v>1</v>
      </c>
      <c r="I25" s="695">
        <f>H25*$E25</f>
        <v>1500000</v>
      </c>
      <c r="J25" s="638"/>
      <c r="K25" s="636"/>
      <c r="L25" s="636"/>
      <c r="M25" s="638"/>
      <c r="N25" s="638"/>
      <c r="O25" s="638"/>
      <c r="P25" s="638"/>
    </row>
    <row r="26" spans="1:16" ht="13.5" thickBot="1" x14ac:dyDescent="0.25">
      <c r="A26" s="696">
        <v>16</v>
      </c>
      <c r="B26" s="1141" t="s">
        <v>81</v>
      </c>
      <c r="C26" s="1142"/>
      <c r="D26" s="684" t="s">
        <v>82</v>
      </c>
      <c r="E26" s="651">
        <v>2000000</v>
      </c>
      <c r="F26" s="597"/>
      <c r="G26" s="697">
        <f>$E26*F26</f>
        <v>0</v>
      </c>
      <c r="H26" s="597">
        <f>F26</f>
        <v>0</v>
      </c>
      <c r="I26" s="697">
        <f>H26*$E26</f>
        <v>0</v>
      </c>
      <c r="J26" s="638"/>
      <c r="K26" s="636"/>
      <c r="L26" s="636"/>
      <c r="M26" s="638"/>
      <c r="N26" s="638"/>
      <c r="O26" s="638"/>
      <c r="P26" s="638"/>
    </row>
    <row r="27" spans="1:16" ht="13.5" thickBot="1" x14ac:dyDescent="0.25">
      <c r="A27" s="590">
        <v>17</v>
      </c>
      <c r="B27" s="1145" t="s">
        <v>83</v>
      </c>
      <c r="C27" s="1146"/>
      <c r="D27" s="692"/>
      <c r="E27" s="707"/>
      <c r="F27" s="660"/>
      <c r="G27" s="724">
        <f>SUM(G25:G26)</f>
        <v>1500000</v>
      </c>
      <c r="H27" s="728"/>
      <c r="I27" s="724">
        <f>SUM(I25:I26)</f>
        <v>1500000</v>
      </c>
      <c r="J27" s="638"/>
      <c r="K27" s="656"/>
      <c r="L27" s="636"/>
      <c r="M27" s="638"/>
      <c r="O27" s="638"/>
      <c r="P27" s="638"/>
    </row>
    <row r="28" spans="1:16" ht="13.5" thickBot="1" x14ac:dyDescent="0.25">
      <c r="A28" s="587">
        <v>18</v>
      </c>
      <c r="B28" s="1147" t="s">
        <v>106</v>
      </c>
      <c r="C28" s="1148"/>
      <c r="D28" s="687"/>
      <c r="E28" s="647"/>
      <c r="F28" s="657"/>
      <c r="G28" s="699">
        <f>G27</f>
        <v>1500000</v>
      </c>
      <c r="H28" s="729"/>
      <c r="I28" s="699">
        <f>I27</f>
        <v>1500000</v>
      </c>
      <c r="J28" s="638"/>
      <c r="K28" s="656"/>
      <c r="L28" s="636"/>
      <c r="M28" s="638"/>
      <c r="O28" s="638"/>
      <c r="P28" s="638"/>
    </row>
    <row r="29" spans="1:16" ht="13.5" thickBot="1" x14ac:dyDescent="0.25">
      <c r="A29" s="590">
        <v>19</v>
      </c>
      <c r="B29" s="1149" t="s">
        <v>102</v>
      </c>
      <c r="C29" s="1150"/>
      <c r="D29" s="700"/>
      <c r="E29" s="708"/>
      <c r="F29" s="725"/>
      <c r="G29" s="726"/>
      <c r="H29" s="730"/>
      <c r="I29" s="726"/>
      <c r="J29" s="638"/>
      <c r="K29" s="659"/>
      <c r="L29" s="636"/>
      <c r="M29" s="638"/>
      <c r="O29" s="638"/>
      <c r="P29" s="638"/>
    </row>
    <row r="30" spans="1:16" ht="13.5" thickBot="1" x14ac:dyDescent="0.25">
      <c r="A30" s="587">
        <v>20</v>
      </c>
      <c r="B30" s="1151" t="s">
        <v>1</v>
      </c>
      <c r="C30" s="1152"/>
      <c r="D30" s="701" t="s">
        <v>2</v>
      </c>
      <c r="E30" s="709"/>
      <c r="F30" s="657"/>
      <c r="G30" s="699">
        <f>G24+G28</f>
        <v>55182296</v>
      </c>
      <c r="H30" s="731"/>
      <c r="I30" s="699">
        <f>I28+I24</f>
        <v>55182296</v>
      </c>
      <c r="J30" s="638"/>
      <c r="K30" s="656"/>
      <c r="L30" s="636"/>
      <c r="M30" s="638"/>
      <c r="O30" s="638"/>
      <c r="P30" s="638"/>
    </row>
    <row r="31" spans="1:16" ht="13.5" thickBot="1" x14ac:dyDescent="0.25">
      <c r="A31" s="587">
        <v>21</v>
      </c>
      <c r="B31" s="1135" t="s">
        <v>103</v>
      </c>
      <c r="C31" s="1136"/>
      <c r="D31" s="685" t="s">
        <v>2</v>
      </c>
      <c r="E31" s="710"/>
      <c r="F31" s="657"/>
      <c r="G31" s="699">
        <f>G30*0.1</f>
        <v>5518229.6000000006</v>
      </c>
      <c r="H31" s="732"/>
      <c r="I31" s="699">
        <f>I30*0.1</f>
        <v>5518229.6000000006</v>
      </c>
      <c r="J31" s="638"/>
      <c r="K31" s="656"/>
      <c r="L31" s="636"/>
      <c r="M31" s="638"/>
      <c r="O31" s="638"/>
      <c r="P31" s="638"/>
    </row>
    <row r="32" spans="1:16" ht="13.5" thickBot="1" x14ac:dyDescent="0.25">
      <c r="A32" s="587">
        <v>22</v>
      </c>
      <c r="B32" s="1137" t="s">
        <v>104</v>
      </c>
      <c r="C32" s="1138"/>
      <c r="D32" s="688"/>
      <c r="E32" s="711"/>
      <c r="F32" s="658"/>
      <c r="G32" s="699">
        <f>SUM(G30:G31)</f>
        <v>60700525.600000001</v>
      </c>
      <c r="H32" s="733"/>
      <c r="I32" s="699">
        <f>SUM(I30:I31)</f>
        <v>60700525.600000001</v>
      </c>
      <c r="J32" s="638"/>
      <c r="K32" s="656"/>
      <c r="L32" s="636"/>
      <c r="M32" s="638"/>
      <c r="O32" s="638"/>
      <c r="P32" s="638"/>
    </row>
    <row r="33" spans="1:16" ht="15.75" x14ac:dyDescent="0.25">
      <c r="A33" s="698"/>
      <c r="B33" s="601"/>
      <c r="C33" s="602" t="s">
        <v>107</v>
      </c>
      <c r="D33" s="603"/>
      <c r="E33" s="603"/>
      <c r="F33" s="604" t="s">
        <v>108</v>
      </c>
      <c r="G33" s="605"/>
      <c r="H33" s="606"/>
      <c r="I33" s="607"/>
      <c r="J33" s="638"/>
      <c r="K33" s="661"/>
      <c r="L33" s="662"/>
      <c r="O33" s="638"/>
      <c r="P33" s="638"/>
    </row>
    <row r="34" spans="1:16" ht="15.75" x14ac:dyDescent="0.25">
      <c r="A34" s="608"/>
      <c r="B34" s="609"/>
      <c r="C34" s="602"/>
      <c r="D34" s="603"/>
      <c r="E34" s="603"/>
      <c r="F34" s="604"/>
      <c r="G34" s="605"/>
      <c r="H34" s="609"/>
      <c r="I34" s="610"/>
      <c r="J34" s="638"/>
      <c r="K34" s="663"/>
      <c r="L34" s="636"/>
      <c r="O34" s="638"/>
      <c r="P34" s="638"/>
    </row>
    <row r="35" spans="1:16" ht="15" x14ac:dyDescent="0.25">
      <c r="A35" s="608"/>
      <c r="B35" s="609"/>
      <c r="C35" s="611" t="s">
        <v>109</v>
      </c>
      <c r="D35" s="612"/>
      <c r="E35" s="612"/>
      <c r="F35" s="604" t="s">
        <v>113</v>
      </c>
      <c r="G35" s="605"/>
      <c r="H35" s="609"/>
      <c r="I35" s="610"/>
      <c r="J35" s="638"/>
      <c r="K35" s="663"/>
      <c r="L35" s="636"/>
      <c r="O35" s="638"/>
    </row>
    <row r="36" spans="1:16" ht="15" x14ac:dyDescent="0.25">
      <c r="A36" s="613"/>
      <c r="B36" s="614"/>
      <c r="C36" s="611"/>
      <c r="D36" s="612"/>
      <c r="E36" s="612"/>
      <c r="F36" s="604"/>
      <c r="G36" s="605"/>
      <c r="H36" s="609"/>
      <c r="I36" s="609"/>
      <c r="J36" s="638"/>
      <c r="K36" s="664"/>
      <c r="L36" s="636"/>
      <c r="O36" s="638"/>
    </row>
    <row r="37" spans="1:16" ht="15" x14ac:dyDescent="0.25">
      <c r="A37" s="613"/>
      <c r="B37" s="614"/>
      <c r="C37" s="611" t="s">
        <v>110</v>
      </c>
      <c r="D37" s="612"/>
      <c r="E37" s="612"/>
      <c r="F37" s="604" t="s">
        <v>111</v>
      </c>
      <c r="G37" s="615"/>
      <c r="H37" s="609"/>
      <c r="I37" s="609"/>
      <c r="J37" s="638"/>
      <c r="K37" s="664"/>
      <c r="N37" s="638"/>
    </row>
    <row r="38" spans="1:16" ht="15" x14ac:dyDescent="0.25">
      <c r="A38" s="608"/>
      <c r="B38" s="613"/>
      <c r="C38" s="611"/>
      <c r="D38" s="612"/>
      <c r="E38" s="612"/>
      <c r="F38" s="604"/>
      <c r="G38" s="615"/>
      <c r="H38" s="609"/>
      <c r="I38" s="609"/>
      <c r="J38" s="638"/>
      <c r="K38" s="663"/>
      <c r="L38" s="636"/>
      <c r="O38" s="638"/>
    </row>
    <row r="39" spans="1:16" ht="15" x14ac:dyDescent="0.25">
      <c r="A39" s="604" t="s">
        <v>119</v>
      </c>
      <c r="B39" s="614"/>
      <c r="C39" s="616" t="s">
        <v>112</v>
      </c>
      <c r="D39" s="615"/>
      <c r="E39" s="615"/>
      <c r="F39" s="604" t="s">
        <v>143</v>
      </c>
      <c r="G39" s="615"/>
      <c r="H39" s="609"/>
      <c r="I39" s="609"/>
      <c r="J39" s="638"/>
      <c r="K39" s="663"/>
      <c r="L39" s="636"/>
      <c r="O39" s="638"/>
    </row>
    <row r="40" spans="1:16" ht="15" x14ac:dyDescent="0.25">
      <c r="A40" s="604" t="s">
        <v>120</v>
      </c>
      <c r="B40" s="613"/>
      <c r="D40" s="615"/>
      <c r="E40" s="615"/>
      <c r="F40" s="583"/>
      <c r="G40" s="615"/>
      <c r="H40" s="609"/>
      <c r="I40" s="609"/>
      <c r="J40" s="638"/>
      <c r="K40" s="663"/>
      <c r="L40" s="636"/>
      <c r="O40" s="638"/>
    </row>
    <row r="41" spans="1:16" ht="15" x14ac:dyDescent="0.25">
      <c r="A41" s="604"/>
      <c r="B41" s="665"/>
      <c r="C41" s="616" t="s">
        <v>114</v>
      </c>
      <c r="D41" s="615"/>
      <c r="E41" s="615"/>
      <c r="F41" s="617" t="s">
        <v>164</v>
      </c>
      <c r="G41" s="604"/>
      <c r="H41" s="604"/>
      <c r="I41" s="604"/>
      <c r="J41" s="638"/>
      <c r="K41" s="663"/>
      <c r="L41" s="636"/>
      <c r="O41" s="638"/>
    </row>
    <row r="42" spans="1:16" ht="14.25" x14ac:dyDescent="0.2">
      <c r="A42" s="608"/>
      <c r="B42" s="609"/>
      <c r="D42" s="583"/>
      <c r="F42" s="583"/>
      <c r="H42" s="609"/>
      <c r="I42" s="609"/>
      <c r="K42" s="608"/>
    </row>
    <row r="43" spans="1:16" ht="15" x14ac:dyDescent="0.25">
      <c r="A43" s="613"/>
      <c r="B43" s="608"/>
      <c r="C43" s="616" t="s">
        <v>115</v>
      </c>
      <c r="D43" s="615"/>
      <c r="E43" s="615"/>
      <c r="F43" s="604" t="s">
        <v>116</v>
      </c>
      <c r="G43" s="604"/>
      <c r="H43" s="609"/>
      <c r="I43" s="609"/>
    </row>
    <row r="44" spans="1:16" ht="14.25" x14ac:dyDescent="0.2">
      <c r="A44" s="615"/>
      <c r="B44" s="615"/>
      <c r="C44" s="615"/>
      <c r="D44" s="615"/>
      <c r="E44" s="615"/>
      <c r="F44" s="615"/>
      <c r="G44" s="615"/>
      <c r="H44" s="615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67"/>
      <c r="C46" s="668"/>
      <c r="D46" s="669"/>
      <c r="E46" s="618"/>
      <c r="F46" s="619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08"/>
    </row>
    <row r="49" spans="1:10" x14ac:dyDescent="0.2">
      <c r="A49" s="666"/>
      <c r="B49" s="670"/>
      <c r="C49" s="670"/>
      <c r="D49" s="667"/>
      <c r="E49" s="668"/>
      <c r="F49" s="669"/>
      <c r="G49" s="618"/>
      <c r="H49" s="619"/>
      <c r="I49" s="620"/>
      <c r="J49" s="671"/>
    </row>
    <row r="50" spans="1:10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10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10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10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10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10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10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10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10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10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10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10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10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10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10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66"/>
      <c r="B74" s="670"/>
      <c r="C74" s="670"/>
      <c r="D74" s="667"/>
      <c r="E74" s="668"/>
      <c r="F74" s="669"/>
      <c r="G74" s="618"/>
      <c r="H74" s="619"/>
      <c r="I74" s="620"/>
    </row>
    <row r="75" spans="1:9" x14ac:dyDescent="0.2">
      <c r="A75" s="621"/>
      <c r="B75" s="622"/>
      <c r="C75" s="622"/>
      <c r="D75" s="623"/>
      <c r="E75" s="620"/>
      <c r="F75" s="624"/>
      <c r="G75" s="618"/>
      <c r="H75" s="619"/>
      <c r="I75" s="620"/>
    </row>
    <row r="76" spans="1:9" x14ac:dyDescent="0.2">
      <c r="A76" s="621"/>
      <c r="B76" s="625"/>
      <c r="C76" s="625"/>
      <c r="D76" s="623"/>
      <c r="E76" s="620"/>
      <c r="F76" s="624"/>
      <c r="G76" s="618"/>
      <c r="H76" s="619"/>
      <c r="I76" s="620"/>
    </row>
    <row r="77" spans="1:9" x14ac:dyDescent="0.2">
      <c r="A77" s="621"/>
      <c r="B77" s="626"/>
      <c r="C77" s="626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3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D79" s="628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E80" s="672"/>
      <c r="F80" s="673"/>
      <c r="G80" s="674"/>
      <c r="H80" s="674"/>
      <c r="I80" s="674"/>
    </row>
    <row r="81" spans="1:9" x14ac:dyDescent="0.2">
      <c r="A81" s="621"/>
      <c r="B81" s="627"/>
      <c r="C81" s="627"/>
      <c r="D81" s="629"/>
      <c r="E81" s="627"/>
      <c r="F81" s="630"/>
      <c r="G81" s="631"/>
      <c r="H81" s="630"/>
      <c r="I81" s="632"/>
    </row>
    <row r="82" spans="1:9" x14ac:dyDescent="0.2">
      <c r="A82" s="621"/>
      <c r="D82" s="629"/>
      <c r="E82" s="631"/>
      <c r="F82" s="630"/>
      <c r="G82" s="631"/>
      <c r="H82" s="630"/>
      <c r="I82" s="632"/>
    </row>
    <row r="83" spans="1:9" x14ac:dyDescent="0.2">
      <c r="A83" s="621"/>
      <c r="B83" s="627"/>
      <c r="C83" s="627"/>
      <c r="E83" s="633"/>
      <c r="F83" s="634"/>
      <c r="G83" s="633"/>
      <c r="H83" s="634"/>
      <c r="I83" s="620"/>
    </row>
    <row r="84" spans="1:9" x14ac:dyDescent="0.2">
      <c r="A84" s="621"/>
      <c r="E84" s="635"/>
      <c r="F84" s="636"/>
      <c r="G84" s="633"/>
      <c r="H84" s="636"/>
      <c r="I84" s="620"/>
    </row>
    <row r="85" spans="1:9" x14ac:dyDescent="0.2">
      <c r="A85" s="621"/>
      <c r="B85" s="627"/>
      <c r="C85" s="627"/>
      <c r="D85" s="629"/>
      <c r="E85" s="631"/>
      <c r="F85" s="630"/>
      <c r="G85" s="631"/>
      <c r="H85" s="630"/>
      <c r="I85" s="632"/>
    </row>
    <row r="86" spans="1:9" x14ac:dyDescent="0.2">
      <c r="F86" s="675"/>
      <c r="G86" s="676"/>
    </row>
    <row r="87" spans="1:9" x14ac:dyDescent="0.2">
      <c r="F87" s="675"/>
      <c r="G87" s="676"/>
    </row>
    <row r="88" spans="1:9" x14ac:dyDescent="0.2">
      <c r="D88" s="629"/>
      <c r="E88" s="627"/>
      <c r="F88" s="637"/>
      <c r="G88" s="627"/>
      <c r="H88" s="627"/>
      <c r="I88" s="627"/>
    </row>
    <row r="89" spans="1:9" x14ac:dyDescent="0.2">
      <c r="D89" s="629"/>
      <c r="E89" s="627"/>
      <c r="F89" s="67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  <row r="92" spans="1:9" x14ac:dyDescent="0.2">
      <c r="D92" s="629"/>
      <c r="E92" s="627"/>
      <c r="F92" s="637"/>
      <c r="G92" s="627"/>
      <c r="H92" s="627"/>
      <c r="I92" s="627"/>
    </row>
  </sheetData>
  <sheetProtection algorithmName="SHA-512" hashValue="187hP8yrshVe8aaGdI4zhDZIoHWx+Vp3NXpMv5eEH93YoEv1tj4QWEN5fS8phlYrdr5iQGMzczg2uJyLdfFtog==" saltValue="XaRWZUSXkl8gNmfyNI/hig==" spinCount="100000" sheet="1" objects="1" scenarios="1"/>
  <mergeCells count="35">
    <mergeCell ref="G1:I3"/>
    <mergeCell ref="B27:C27"/>
    <mergeCell ref="B28:C28"/>
    <mergeCell ref="B29:C29"/>
    <mergeCell ref="B30:C30"/>
    <mergeCell ref="B22:C22"/>
    <mergeCell ref="B23:C23"/>
    <mergeCell ref="B16:C16"/>
    <mergeCell ref="B17:C17"/>
    <mergeCell ref="B18:C18"/>
    <mergeCell ref="B19:C19"/>
    <mergeCell ref="B20:C20"/>
    <mergeCell ref="B21:C21"/>
    <mergeCell ref="B15:C15"/>
    <mergeCell ref="B13:C13"/>
    <mergeCell ref="B14:C14"/>
    <mergeCell ref="B31:C31"/>
    <mergeCell ref="B32:C32"/>
    <mergeCell ref="B25:C25"/>
    <mergeCell ref="B26:C26"/>
    <mergeCell ref="B24:C24"/>
    <mergeCell ref="J8:K8"/>
    <mergeCell ref="B10:C10"/>
    <mergeCell ref="B11:C11"/>
    <mergeCell ref="B12:C12"/>
    <mergeCell ref="G7:I7"/>
    <mergeCell ref="H8:I8"/>
    <mergeCell ref="C4:I4"/>
    <mergeCell ref="C5:I5"/>
    <mergeCell ref="B6:I6"/>
    <mergeCell ref="A8:A9"/>
    <mergeCell ref="B8:C9"/>
    <mergeCell ref="D8:D9"/>
    <mergeCell ref="E8:E9"/>
    <mergeCell ref="F8:G8"/>
  </mergeCells>
  <printOptions horizontalCentered="1"/>
  <pageMargins left="0.78700000000000003" right="0.78700000000000003" top="1.181" bottom="0.09" header="0.314" footer="0.314"/>
  <pageSetup paperSize="9" fitToWidth="0" orientation="landscape" r:id="rId1"/>
  <ignoredErrors>
    <ignoredError sqref="I13 G12" formula="1"/>
    <ignoredError sqref="G30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1"/>
  <sheetViews>
    <sheetView topLeftCell="A13" zoomScale="115" zoomScaleNormal="115" workbookViewId="0">
      <selection activeCell="F16" sqref="F16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2.5" style="583" customWidth="1"/>
    <col min="10" max="10" width="10" style="583" customWidth="1"/>
    <col min="11" max="11" width="13.5" style="583" customWidth="1"/>
    <col min="12" max="12" width="14" style="583" customWidth="1"/>
    <col min="13" max="14" width="9" style="583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005" t="s">
        <v>163</v>
      </c>
      <c r="H1" s="1005"/>
      <c r="I1" s="1005"/>
      <c r="M1" s="734"/>
      <c r="N1" s="734"/>
    </row>
    <row r="2" spans="1:22" ht="14.25" x14ac:dyDescent="0.2">
      <c r="A2" s="605"/>
      <c r="B2" s="605"/>
      <c r="C2" s="605"/>
      <c r="D2" s="605"/>
      <c r="E2" s="605"/>
      <c r="F2" s="605"/>
      <c r="G2" s="1005"/>
      <c r="H2" s="1005"/>
      <c r="I2" s="1005"/>
      <c r="L2" s="734"/>
      <c r="M2" s="734"/>
      <c r="N2" s="734"/>
    </row>
    <row r="3" spans="1:22" ht="14.25" x14ac:dyDescent="0.2">
      <c r="A3" s="605"/>
      <c r="B3" s="605"/>
      <c r="C3" s="605"/>
      <c r="D3" s="605"/>
      <c r="E3" s="605"/>
      <c r="F3" s="605"/>
      <c r="G3" s="1005"/>
      <c r="H3" s="1005"/>
      <c r="I3" s="1005"/>
      <c r="L3" s="734"/>
      <c r="M3" s="734"/>
      <c r="N3" s="734"/>
    </row>
    <row r="4" spans="1:22" ht="15" x14ac:dyDescent="0.25">
      <c r="A4" s="639"/>
      <c r="B4" s="639"/>
      <c r="C4" s="1111" t="s">
        <v>117</v>
      </c>
      <c r="D4" s="1111"/>
      <c r="E4" s="1111"/>
      <c r="F4" s="1111"/>
      <c r="G4" s="1111"/>
      <c r="H4" s="1111"/>
      <c r="I4" s="1111"/>
    </row>
    <row r="5" spans="1:22" ht="15" x14ac:dyDescent="0.25">
      <c r="A5" s="639"/>
      <c r="B5" s="639"/>
      <c r="C5" s="1111" t="s">
        <v>100</v>
      </c>
      <c r="D5" s="1111"/>
      <c r="E5" s="1111"/>
      <c r="F5" s="1111"/>
      <c r="G5" s="1111"/>
      <c r="H5" s="1111"/>
      <c r="I5" s="1111"/>
    </row>
    <row r="6" spans="1:22" ht="15" x14ac:dyDescent="0.25">
      <c r="A6" s="617"/>
      <c r="B6" s="1112" t="s">
        <v>174</v>
      </c>
      <c r="C6" s="1112"/>
      <c r="D6" s="1112"/>
      <c r="E6" s="1112"/>
      <c r="F6" s="1112"/>
      <c r="G6" s="1112"/>
      <c r="H6" s="1112"/>
      <c r="I6" s="1112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132" t="s">
        <v>118</v>
      </c>
      <c r="H7" s="1132"/>
      <c r="I7" s="1132"/>
      <c r="J7" s="641"/>
      <c r="K7" s="584"/>
    </row>
    <row r="8" spans="1:22" x14ac:dyDescent="0.2">
      <c r="A8" s="1113" t="s">
        <v>0</v>
      </c>
      <c r="B8" s="1115" t="s">
        <v>8</v>
      </c>
      <c r="C8" s="1116"/>
      <c r="D8" s="1119" t="s">
        <v>20</v>
      </c>
      <c r="E8" s="1121" t="s">
        <v>21</v>
      </c>
      <c r="F8" s="1123" t="s">
        <v>175</v>
      </c>
      <c r="G8" s="1124"/>
      <c r="H8" s="1133" t="s">
        <v>101</v>
      </c>
      <c r="I8" s="1134"/>
      <c r="J8" s="1125"/>
      <c r="K8" s="1125"/>
    </row>
    <row r="9" spans="1:22" ht="13.5" thickBot="1" x14ac:dyDescent="0.25">
      <c r="A9" s="1114"/>
      <c r="B9" s="1117"/>
      <c r="C9" s="1118"/>
      <c r="D9" s="1120"/>
      <c r="E9" s="1122"/>
      <c r="F9" s="642" t="s">
        <v>26</v>
      </c>
      <c r="G9" s="643" t="s">
        <v>6</v>
      </c>
      <c r="H9" s="642" t="s">
        <v>26</v>
      </c>
      <c r="I9" s="643" t="s">
        <v>6</v>
      </c>
      <c r="J9" s="644"/>
      <c r="K9" s="644"/>
    </row>
    <row r="10" spans="1:22" ht="13.5" thickBot="1" x14ac:dyDescent="0.25">
      <c r="A10" s="737" t="s">
        <v>27</v>
      </c>
      <c r="B10" s="1126" t="s">
        <v>28</v>
      </c>
      <c r="C10" s="1127"/>
      <c r="D10" s="745">
        <v>1</v>
      </c>
      <c r="E10" s="739">
        <v>2</v>
      </c>
      <c r="F10" s="740">
        <v>3</v>
      </c>
      <c r="G10" s="741">
        <v>4</v>
      </c>
      <c r="H10" s="740">
        <v>5</v>
      </c>
      <c r="I10" s="741">
        <v>6</v>
      </c>
      <c r="J10" s="645"/>
      <c r="K10" s="645"/>
    </row>
    <row r="11" spans="1:22" ht="13.5" thickBot="1" x14ac:dyDescent="0.25">
      <c r="A11" s="585">
        <v>1</v>
      </c>
      <c r="B11" s="1128" t="s">
        <v>29</v>
      </c>
      <c r="C11" s="1129"/>
      <c r="D11" s="680" t="s">
        <v>30</v>
      </c>
      <c r="E11" s="702">
        <v>94250</v>
      </c>
      <c r="F11" s="660"/>
      <c r="G11" s="712">
        <f>$E11*F11</f>
        <v>0</v>
      </c>
      <c r="H11" s="598">
        <f>F11+'Гүйцэтгэл_2023_1 сар '!H11</f>
        <v>122.80000000000001</v>
      </c>
      <c r="I11" s="712">
        <f>H11*$E$11</f>
        <v>11573900.000000002</v>
      </c>
      <c r="J11" s="638"/>
      <c r="K11" s="636"/>
      <c r="L11" s="636"/>
      <c r="M11" s="638"/>
      <c r="N11" s="638"/>
      <c r="O11" s="638"/>
      <c r="P11" s="638"/>
    </row>
    <row r="12" spans="1:22" ht="13.5" thickBot="1" x14ac:dyDescent="0.25">
      <c r="A12" s="587">
        <v>2</v>
      </c>
      <c r="B12" s="1130" t="s">
        <v>35</v>
      </c>
      <c r="C12" s="1131"/>
      <c r="D12" s="681"/>
      <c r="E12" s="588"/>
      <c r="F12" s="589"/>
      <c r="G12" s="653">
        <f>G11</f>
        <v>0</v>
      </c>
      <c r="H12" s="657"/>
      <c r="I12" s="653">
        <f>SUM(I11:I11)</f>
        <v>11573900.000000002</v>
      </c>
      <c r="J12" s="638"/>
      <c r="K12" s="634"/>
      <c r="L12" s="636"/>
      <c r="M12" s="638"/>
      <c r="N12" s="638"/>
      <c r="O12" s="638"/>
      <c r="P12" s="638"/>
    </row>
    <row r="13" spans="1:22" ht="13.5" thickBot="1" x14ac:dyDescent="0.25">
      <c r="A13" s="590">
        <v>3</v>
      </c>
      <c r="B13" s="1164" t="s">
        <v>41</v>
      </c>
      <c r="C13" s="1165"/>
      <c r="D13" s="682" t="s">
        <v>40</v>
      </c>
      <c r="E13" s="647">
        <v>55000</v>
      </c>
      <c r="F13" s="652"/>
      <c r="G13" s="690">
        <f>$E13*F13</f>
        <v>0</v>
      </c>
      <c r="H13" s="657"/>
      <c r="I13" s="690">
        <f>H13*$E13</f>
        <v>0</v>
      </c>
      <c r="J13" s="638"/>
      <c r="K13" s="636"/>
      <c r="L13" s="636"/>
      <c r="M13" s="638"/>
      <c r="N13" s="638"/>
      <c r="O13" s="638"/>
      <c r="P13" s="638"/>
    </row>
    <row r="14" spans="1:22" ht="13.5" thickBot="1" x14ac:dyDescent="0.25">
      <c r="A14" s="587">
        <v>4</v>
      </c>
      <c r="B14" s="1166" t="s">
        <v>42</v>
      </c>
      <c r="C14" s="1167"/>
      <c r="D14" s="683"/>
      <c r="E14" s="703"/>
      <c r="F14" s="713"/>
      <c r="G14" s="714">
        <f>SUM(G13:G13)</f>
        <v>0</v>
      </c>
      <c r="H14" s="660"/>
      <c r="I14" s="714">
        <f>SUM(I13:I13)</f>
        <v>0</v>
      </c>
      <c r="J14" s="638"/>
      <c r="K14" s="634"/>
      <c r="L14" s="636"/>
      <c r="M14" s="638"/>
      <c r="N14" s="638"/>
      <c r="O14" s="638"/>
      <c r="P14" s="638"/>
    </row>
    <row r="15" spans="1:22" s="593" customFormat="1" ht="13.5" thickBot="1" x14ac:dyDescent="0.25">
      <c r="A15" s="587">
        <v>5</v>
      </c>
      <c r="B15" s="1163" t="s">
        <v>49</v>
      </c>
      <c r="C15" s="1163"/>
      <c r="D15" s="735"/>
      <c r="E15" s="704"/>
      <c r="F15" s="715"/>
      <c r="G15" s="689">
        <f>SUM(G14)</f>
        <v>0</v>
      </c>
      <c r="H15" s="657"/>
      <c r="I15" s="689">
        <f>SUM(I14)</f>
        <v>0</v>
      </c>
      <c r="J15" s="638"/>
      <c r="K15" s="649"/>
      <c r="L15" s="636"/>
      <c r="M15" s="638"/>
      <c r="N15" s="638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57" t="s">
        <v>52</v>
      </c>
      <c r="C16" s="1158"/>
      <c r="D16" s="586" t="s">
        <v>53</v>
      </c>
      <c r="E16" s="705">
        <f>92811*0.1+92811</f>
        <v>102092.1</v>
      </c>
      <c r="F16" s="716">
        <v>20</v>
      </c>
      <c r="G16" s="717">
        <f t="shared" ref="G16:G22" si="0">$E16*F16</f>
        <v>2041842</v>
      </c>
      <c r="H16" s="598">
        <f>F16+'Гүйцэтгэл_2023_1 сар '!H16</f>
        <v>30</v>
      </c>
      <c r="I16" s="717">
        <f t="shared" ref="I16:I22" si="1">H16*$E16</f>
        <v>3062763</v>
      </c>
      <c r="J16" s="638"/>
      <c r="K16" s="636"/>
      <c r="L16" s="636"/>
      <c r="M16" s="638"/>
      <c r="N16" s="638"/>
      <c r="O16" s="638"/>
      <c r="P16" s="638"/>
    </row>
    <row r="17" spans="1:16" ht="27.75" customHeight="1" x14ac:dyDescent="0.25">
      <c r="A17" s="594">
        <v>7</v>
      </c>
      <c r="B17" s="1159" t="s">
        <v>54</v>
      </c>
      <c r="C17" s="1160"/>
      <c r="D17" s="595" t="s">
        <v>53</v>
      </c>
      <c r="E17" s="650">
        <f>92846*0.1+92846</f>
        <v>102130.6</v>
      </c>
      <c r="F17" s="718">
        <v>90</v>
      </c>
      <c r="G17" s="719">
        <f t="shared" si="0"/>
        <v>9191754</v>
      </c>
      <c r="H17" s="598">
        <f>F17+'Гүйцэтгэл_2023_1 сар '!H17</f>
        <v>135</v>
      </c>
      <c r="I17" s="719">
        <f t="shared" si="1"/>
        <v>13787631</v>
      </c>
      <c r="J17" s="638"/>
      <c r="K17" s="636"/>
      <c r="L17" s="636"/>
      <c r="M17" s="638"/>
      <c r="N17" s="638"/>
      <c r="O17" s="638"/>
      <c r="P17" s="638"/>
    </row>
    <row r="18" spans="1:16" ht="15" x14ac:dyDescent="0.25">
      <c r="A18" s="594">
        <v>8</v>
      </c>
      <c r="B18" s="1159" t="s">
        <v>55</v>
      </c>
      <c r="C18" s="1160"/>
      <c r="D18" s="595" t="s">
        <v>33</v>
      </c>
      <c r="E18" s="650">
        <v>4000000</v>
      </c>
      <c r="F18" s="718">
        <v>2.75</v>
      </c>
      <c r="G18" s="719">
        <f t="shared" si="0"/>
        <v>11000000</v>
      </c>
      <c r="H18" s="598">
        <f>F18+'Гүйцэтгэл_2023_1 сар '!H18</f>
        <v>4.125</v>
      </c>
      <c r="I18" s="719">
        <f t="shared" si="1"/>
        <v>16500000</v>
      </c>
      <c r="J18" s="638"/>
      <c r="K18" s="636"/>
      <c r="L18" s="636"/>
      <c r="M18" s="638"/>
      <c r="N18" s="638"/>
      <c r="O18" s="638"/>
      <c r="P18" s="638"/>
    </row>
    <row r="19" spans="1:16" ht="28.5" customHeight="1" x14ac:dyDescent="0.2">
      <c r="A19" s="594">
        <v>9</v>
      </c>
      <c r="B19" s="1161" t="s">
        <v>56</v>
      </c>
      <c r="C19" s="1162"/>
      <c r="D19" s="595" t="s">
        <v>33</v>
      </c>
      <c r="E19" s="650">
        <v>4000000</v>
      </c>
      <c r="F19" s="720">
        <v>10.25</v>
      </c>
      <c r="G19" s="719">
        <f t="shared" si="0"/>
        <v>41000000</v>
      </c>
      <c r="H19" s="598">
        <f>F19+'Гүйцэтгэл_2023_1 сар '!H19</f>
        <v>15.375</v>
      </c>
      <c r="I19" s="719">
        <f t="shared" si="1"/>
        <v>61500000</v>
      </c>
      <c r="J19" s="638"/>
      <c r="K19" s="636"/>
      <c r="L19" s="636"/>
      <c r="M19" s="638"/>
      <c r="N19" s="638"/>
      <c r="O19" s="638"/>
      <c r="P19" s="638"/>
    </row>
    <row r="20" spans="1:16" ht="24" customHeight="1" x14ac:dyDescent="0.2">
      <c r="A20" s="594">
        <v>10</v>
      </c>
      <c r="B20" s="1159" t="s">
        <v>57</v>
      </c>
      <c r="C20" s="1160"/>
      <c r="D20" s="595" t="s">
        <v>53</v>
      </c>
      <c r="E20" s="650">
        <f>92846</f>
        <v>92846</v>
      </c>
      <c r="F20" s="720">
        <v>113</v>
      </c>
      <c r="G20" s="719">
        <f t="shared" si="0"/>
        <v>10491598</v>
      </c>
      <c r="H20" s="598">
        <f>F20+'Гүйцэтгэл_2023_1 сар '!H20</f>
        <v>226</v>
      </c>
      <c r="I20" s="719">
        <f t="shared" si="1"/>
        <v>20983196</v>
      </c>
      <c r="J20" s="638"/>
      <c r="K20" s="636"/>
      <c r="L20" s="636"/>
      <c r="M20" s="638"/>
      <c r="N20" s="638"/>
      <c r="O20" s="638"/>
      <c r="P20" s="638"/>
    </row>
    <row r="21" spans="1:16" x14ac:dyDescent="0.2">
      <c r="A21" s="594">
        <v>11</v>
      </c>
      <c r="B21" s="1161" t="s">
        <v>16</v>
      </c>
      <c r="C21" s="1162"/>
      <c r="D21" s="595" t="s">
        <v>58</v>
      </c>
      <c r="E21" s="650">
        <f>93160.75*0.1+93160.75</f>
        <v>102476.825</v>
      </c>
      <c r="F21" s="599"/>
      <c r="G21" s="719">
        <f t="shared" si="0"/>
        <v>0</v>
      </c>
      <c r="H21" s="596">
        <f t="shared" ref="H21:H22" si="2">F21</f>
        <v>0</v>
      </c>
      <c r="I21" s="719">
        <f t="shared" si="1"/>
        <v>0</v>
      </c>
      <c r="J21" s="638"/>
      <c r="K21" s="636"/>
      <c r="L21" s="636"/>
      <c r="M21" s="638"/>
      <c r="N21" s="638"/>
      <c r="O21" s="638"/>
      <c r="P21" s="638"/>
    </row>
    <row r="22" spans="1:16" ht="13.5" thickBot="1" x14ac:dyDescent="0.25">
      <c r="A22" s="591">
        <v>12</v>
      </c>
      <c r="B22" s="1153" t="s">
        <v>59</v>
      </c>
      <c r="C22" s="1154"/>
      <c r="D22" s="736" t="s">
        <v>60</v>
      </c>
      <c r="E22" s="648">
        <f>123810*0.1+123810</f>
        <v>136191</v>
      </c>
      <c r="F22" s="654"/>
      <c r="G22" s="721">
        <f t="shared" si="0"/>
        <v>0</v>
      </c>
      <c r="H22" s="654">
        <f t="shared" si="2"/>
        <v>0</v>
      </c>
      <c r="I22" s="721">
        <f t="shared" si="1"/>
        <v>0</v>
      </c>
      <c r="J22" s="638"/>
      <c r="K22" s="636"/>
      <c r="L22" s="636"/>
      <c r="M22" s="638"/>
      <c r="N22" s="638"/>
      <c r="O22" s="638"/>
      <c r="P22" s="638"/>
    </row>
    <row r="23" spans="1:16" ht="13.5" thickBot="1" x14ac:dyDescent="0.25">
      <c r="A23" s="585">
        <v>13</v>
      </c>
      <c r="B23" s="1155" t="s">
        <v>61</v>
      </c>
      <c r="C23" s="1156"/>
      <c r="D23" s="683"/>
      <c r="E23" s="706"/>
      <c r="F23" s="679"/>
      <c r="G23" s="743">
        <f>SUM(G16:G22)</f>
        <v>73725194</v>
      </c>
      <c r="H23" s="657"/>
      <c r="I23" s="653">
        <f>SUM(I16:I22)</f>
        <v>115833590</v>
      </c>
      <c r="J23" s="638"/>
      <c r="K23" s="634"/>
      <c r="L23" s="636"/>
      <c r="M23" s="638"/>
      <c r="N23" s="638"/>
      <c r="O23" s="638"/>
      <c r="P23" s="638"/>
    </row>
    <row r="24" spans="1:16" ht="13.5" thickBot="1" x14ac:dyDescent="0.25">
      <c r="A24" s="600">
        <v>14</v>
      </c>
      <c r="B24" s="1143" t="s">
        <v>84</v>
      </c>
      <c r="C24" s="1144"/>
      <c r="D24" s="686"/>
      <c r="E24" s="678"/>
      <c r="F24" s="722"/>
      <c r="G24" s="744">
        <f>G23+G12+G15</f>
        <v>73725194</v>
      </c>
      <c r="H24" s="657"/>
      <c r="I24" s="653">
        <f>I23+I12+I15</f>
        <v>127407490</v>
      </c>
      <c r="J24" s="638"/>
      <c r="K24" s="634"/>
      <c r="L24" s="636"/>
      <c r="M24" s="638"/>
      <c r="N24" s="638"/>
      <c r="O24" s="638"/>
      <c r="P24" s="638"/>
    </row>
    <row r="25" spans="1:16" ht="13.5" thickBot="1" x14ac:dyDescent="0.25">
      <c r="A25" s="587">
        <v>15</v>
      </c>
      <c r="B25" s="1168" t="s">
        <v>78</v>
      </c>
      <c r="C25" s="1169"/>
      <c r="D25" s="760" t="s">
        <v>79</v>
      </c>
      <c r="E25" s="647">
        <v>1500000</v>
      </c>
      <c r="F25" s="652">
        <v>2</v>
      </c>
      <c r="G25" s="690">
        <f>$E25*F25</f>
        <v>3000000</v>
      </c>
      <c r="H25" s="657">
        <f>F25+'Гүйцэтгэл_2023_1 сар '!H25</f>
        <v>3</v>
      </c>
      <c r="I25" s="690">
        <f>H25*$E25</f>
        <v>4500000</v>
      </c>
      <c r="J25" s="638"/>
      <c r="K25" s="636"/>
      <c r="L25" s="636"/>
      <c r="M25" s="638"/>
      <c r="N25" s="638"/>
      <c r="O25" s="638"/>
      <c r="P25" s="638"/>
    </row>
    <row r="26" spans="1:16" ht="13.5" thickBot="1" x14ac:dyDescent="0.25">
      <c r="A26" s="590">
        <v>16</v>
      </c>
      <c r="B26" s="1145" t="s">
        <v>83</v>
      </c>
      <c r="C26" s="1146"/>
      <c r="D26" s="692"/>
      <c r="E26" s="707"/>
      <c r="F26" s="660"/>
      <c r="G26" s="724">
        <f>SUM(G25:G25)</f>
        <v>3000000</v>
      </c>
      <c r="H26" s="728"/>
      <c r="I26" s="724">
        <f>SUM(I25:I25)</f>
        <v>4500000</v>
      </c>
      <c r="J26" s="638"/>
      <c r="K26" s="656"/>
      <c r="L26" s="636"/>
      <c r="M26" s="638"/>
      <c r="O26" s="638"/>
      <c r="P26" s="638"/>
    </row>
    <row r="27" spans="1:16" ht="13.5" thickBot="1" x14ac:dyDescent="0.25">
      <c r="A27" s="693">
        <v>17</v>
      </c>
      <c r="B27" s="1147" t="s">
        <v>106</v>
      </c>
      <c r="C27" s="1148"/>
      <c r="D27" s="687"/>
      <c r="E27" s="647"/>
      <c r="F27" s="657"/>
      <c r="G27" s="699">
        <f>G26</f>
        <v>3000000</v>
      </c>
      <c r="H27" s="729"/>
      <c r="I27" s="699">
        <f>I26</f>
        <v>4500000</v>
      </c>
      <c r="J27" s="638"/>
      <c r="K27" s="656"/>
      <c r="L27" s="636"/>
      <c r="M27" s="638"/>
      <c r="O27" s="638"/>
      <c r="P27" s="638"/>
    </row>
    <row r="28" spans="1:16" ht="13.5" thickBot="1" x14ac:dyDescent="0.25">
      <c r="A28" s="600">
        <v>18</v>
      </c>
      <c r="B28" s="1149" t="s">
        <v>102</v>
      </c>
      <c r="C28" s="1150"/>
      <c r="D28" s="700"/>
      <c r="E28" s="708"/>
      <c r="F28" s="725"/>
      <c r="G28" s="726"/>
      <c r="H28" s="730"/>
      <c r="I28" s="726"/>
      <c r="J28" s="638"/>
      <c r="K28" s="659"/>
      <c r="L28" s="636"/>
      <c r="M28" s="638"/>
      <c r="O28" s="638"/>
      <c r="P28" s="638"/>
    </row>
    <row r="29" spans="1:16" ht="13.5" thickBot="1" x14ac:dyDescent="0.25">
      <c r="A29" s="693">
        <v>19</v>
      </c>
      <c r="B29" s="1151" t="s">
        <v>1</v>
      </c>
      <c r="C29" s="1152"/>
      <c r="D29" s="701" t="s">
        <v>2</v>
      </c>
      <c r="E29" s="709"/>
      <c r="F29" s="657"/>
      <c r="G29" s="699">
        <f>G24+G27</f>
        <v>76725194</v>
      </c>
      <c r="H29" s="731"/>
      <c r="I29" s="699">
        <f>I27+I24</f>
        <v>131907490</v>
      </c>
      <c r="J29" s="638"/>
      <c r="K29" s="656"/>
      <c r="L29" s="636"/>
      <c r="M29" s="638"/>
      <c r="O29" s="638"/>
      <c r="P29" s="638"/>
    </row>
    <row r="30" spans="1:16" ht="13.5" thickBot="1" x14ac:dyDescent="0.25">
      <c r="A30" s="600">
        <v>20</v>
      </c>
      <c r="B30" s="1135" t="s">
        <v>103</v>
      </c>
      <c r="C30" s="1136"/>
      <c r="D30" s="685" t="s">
        <v>2</v>
      </c>
      <c r="E30" s="710"/>
      <c r="F30" s="657"/>
      <c r="G30" s="699">
        <f>G29*0.1</f>
        <v>7672519.4000000004</v>
      </c>
      <c r="H30" s="732"/>
      <c r="I30" s="699">
        <f>I29*0.1</f>
        <v>13190749</v>
      </c>
      <c r="J30" s="638"/>
      <c r="K30" s="656"/>
      <c r="L30" s="636"/>
      <c r="M30" s="638"/>
      <c r="O30" s="638"/>
      <c r="P30" s="638"/>
    </row>
    <row r="31" spans="1:16" ht="13.5" thickBot="1" x14ac:dyDescent="0.25">
      <c r="A31" s="693">
        <v>21</v>
      </c>
      <c r="B31" s="1137" t="s">
        <v>104</v>
      </c>
      <c r="C31" s="1138"/>
      <c r="D31" s="688"/>
      <c r="E31" s="711"/>
      <c r="F31" s="658"/>
      <c r="G31" s="699">
        <f>SUM(G29:G30)</f>
        <v>84397713.400000006</v>
      </c>
      <c r="H31" s="733"/>
      <c r="I31" s="699">
        <f>SUM(I29:I30)</f>
        <v>145098239</v>
      </c>
      <c r="J31" s="638"/>
      <c r="K31" s="656"/>
      <c r="L31" s="636"/>
      <c r="M31" s="638"/>
      <c r="O31" s="638"/>
      <c r="P31" s="638"/>
    </row>
    <row r="32" spans="1:16" ht="15.75" x14ac:dyDescent="0.25">
      <c r="A32" s="698"/>
      <c r="B32" s="601"/>
      <c r="C32" s="602" t="s">
        <v>107</v>
      </c>
      <c r="D32" s="603"/>
      <c r="E32" s="603"/>
      <c r="F32" s="604" t="s">
        <v>108</v>
      </c>
      <c r="G32" s="605"/>
      <c r="H32" s="606"/>
      <c r="I32" s="607">
        <f>'Гүйцэтгэл_2023_1 сар '!G32+'Гүйцэтгэл_2023_2_3 сар '!G31-'Гүйцэтгэл_2023_2_3 сар '!I31</f>
        <v>0</v>
      </c>
      <c r="J32" s="638"/>
      <c r="K32" s="661"/>
      <c r="L32" s="662"/>
      <c r="O32" s="638"/>
      <c r="P32" s="638"/>
    </row>
    <row r="33" spans="1:16" ht="15.75" x14ac:dyDescent="0.25">
      <c r="A33" s="608"/>
      <c r="B33" s="609"/>
      <c r="C33" s="602"/>
      <c r="D33" s="603"/>
      <c r="E33" s="603"/>
      <c r="F33" s="604"/>
      <c r="G33" s="605"/>
      <c r="H33" s="609"/>
      <c r="I33" s="610"/>
      <c r="J33" s="638"/>
      <c r="K33" s="663"/>
      <c r="L33" s="636"/>
      <c r="O33" s="638"/>
      <c r="P33" s="638"/>
    </row>
    <row r="34" spans="1:16" ht="15" x14ac:dyDescent="0.25">
      <c r="A34" s="608"/>
      <c r="B34" s="609"/>
      <c r="C34" s="611" t="s">
        <v>109</v>
      </c>
      <c r="D34" s="612"/>
      <c r="E34" s="612"/>
      <c r="F34" s="604" t="s">
        <v>113</v>
      </c>
      <c r="G34" s="605"/>
      <c r="H34" s="609"/>
      <c r="I34" s="610"/>
      <c r="J34" s="638"/>
      <c r="K34" s="663"/>
      <c r="L34" s="636"/>
      <c r="O34" s="638"/>
    </row>
    <row r="35" spans="1:16" ht="15" x14ac:dyDescent="0.25">
      <c r="A35" s="613"/>
      <c r="B35" s="614"/>
      <c r="C35" s="611"/>
      <c r="D35" s="612"/>
      <c r="E35" s="612"/>
      <c r="F35" s="604"/>
      <c r="G35" s="605"/>
      <c r="H35" s="609"/>
      <c r="I35" s="609"/>
      <c r="J35" s="638"/>
      <c r="K35" s="664"/>
      <c r="L35" s="636"/>
      <c r="O35" s="638"/>
    </row>
    <row r="36" spans="1:16" ht="15" x14ac:dyDescent="0.25">
      <c r="A36" s="613"/>
      <c r="B36" s="614"/>
      <c r="C36" s="611" t="s">
        <v>110</v>
      </c>
      <c r="D36" s="612"/>
      <c r="E36" s="612"/>
      <c r="F36" s="604" t="s">
        <v>111</v>
      </c>
      <c r="G36" s="615"/>
      <c r="H36" s="609"/>
      <c r="I36" s="609"/>
      <c r="J36" s="638"/>
      <c r="K36" s="664"/>
      <c r="N36" s="638"/>
    </row>
    <row r="37" spans="1:16" ht="15" x14ac:dyDescent="0.25">
      <c r="A37" s="608"/>
      <c r="B37" s="613"/>
      <c r="C37" s="611"/>
      <c r="D37" s="612"/>
      <c r="E37" s="612"/>
      <c r="F37" s="604"/>
      <c r="G37" s="615"/>
      <c r="H37" s="609"/>
      <c r="I37" s="609"/>
      <c r="J37" s="638"/>
      <c r="K37" s="663"/>
      <c r="L37" s="636"/>
      <c r="O37" s="638"/>
    </row>
    <row r="38" spans="1:16" ht="15" x14ac:dyDescent="0.25">
      <c r="A38" s="604" t="s">
        <v>119</v>
      </c>
      <c r="B38" s="614"/>
      <c r="C38" s="747" t="s">
        <v>112</v>
      </c>
      <c r="D38" s="615"/>
      <c r="E38" s="615"/>
      <c r="F38" s="604" t="s">
        <v>143</v>
      </c>
      <c r="G38" s="615"/>
      <c r="H38" s="609"/>
      <c r="I38" s="609"/>
      <c r="J38" s="638"/>
      <c r="K38" s="663"/>
      <c r="L38" s="636"/>
      <c r="O38" s="638"/>
    </row>
    <row r="39" spans="1:16" ht="15" x14ac:dyDescent="0.25">
      <c r="A39" s="604" t="s">
        <v>120</v>
      </c>
      <c r="B39" s="613"/>
      <c r="D39" s="615"/>
      <c r="E39" s="615"/>
      <c r="F39" s="583"/>
      <c r="G39" s="615"/>
      <c r="H39" s="609"/>
      <c r="I39" s="609"/>
      <c r="J39" s="638"/>
      <c r="K39" s="663"/>
      <c r="L39" s="636"/>
      <c r="O39" s="638"/>
    </row>
    <row r="40" spans="1:16" ht="15" x14ac:dyDescent="0.25">
      <c r="A40" s="604"/>
      <c r="B40" s="746"/>
      <c r="C40" s="747" t="s">
        <v>114</v>
      </c>
      <c r="D40" s="615"/>
      <c r="E40" s="615"/>
      <c r="F40" s="617" t="s">
        <v>164</v>
      </c>
      <c r="G40" s="604"/>
      <c r="H40" s="604"/>
      <c r="I40" s="604"/>
      <c r="J40" s="638"/>
      <c r="K40" s="663"/>
      <c r="L40" s="636"/>
      <c r="O40" s="638"/>
    </row>
    <row r="41" spans="1:16" ht="14.25" x14ac:dyDescent="0.2">
      <c r="A41" s="608"/>
      <c r="B41" s="609"/>
      <c r="D41" s="583"/>
      <c r="F41" s="583"/>
      <c r="H41" s="609"/>
      <c r="I41" s="609"/>
      <c r="K41" s="608"/>
    </row>
    <row r="42" spans="1:16" ht="15" x14ac:dyDescent="0.25">
      <c r="A42" s="613"/>
      <c r="B42" s="608"/>
      <c r="C42" s="747" t="s">
        <v>115</v>
      </c>
      <c r="D42" s="615"/>
      <c r="E42" s="615"/>
      <c r="F42" s="604" t="s">
        <v>116</v>
      </c>
      <c r="G42" s="604"/>
      <c r="H42" s="609"/>
      <c r="I42" s="609"/>
    </row>
    <row r="43" spans="1:16" ht="14.25" x14ac:dyDescent="0.2">
      <c r="A43" s="615"/>
      <c r="B43" s="615"/>
      <c r="C43" s="615"/>
      <c r="D43" s="615"/>
      <c r="E43" s="615"/>
      <c r="F43" s="615"/>
      <c r="G43" s="615"/>
      <c r="H43" s="615"/>
    </row>
    <row r="44" spans="1:16" x14ac:dyDescent="0.2">
      <c r="A44" s="666"/>
      <c r="B44" s="667"/>
      <c r="C44" s="668"/>
      <c r="D44" s="669"/>
      <c r="E44" s="618"/>
      <c r="F44" s="619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70"/>
      <c r="C46" s="670"/>
      <c r="D46" s="667"/>
      <c r="E46" s="668"/>
      <c r="F46" s="669"/>
      <c r="G46" s="618"/>
      <c r="H46" s="619"/>
      <c r="I46" s="608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20"/>
      <c r="J48" s="671"/>
    </row>
    <row r="49" spans="1:9" x14ac:dyDescent="0.2">
      <c r="A49" s="666"/>
      <c r="B49" s="670"/>
      <c r="C49" s="670"/>
      <c r="D49" s="667"/>
      <c r="E49" s="668"/>
      <c r="F49" s="669"/>
      <c r="G49" s="618"/>
      <c r="H49" s="619"/>
      <c r="I49" s="620"/>
    </row>
    <row r="50" spans="1:9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9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9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9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9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9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9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9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9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9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9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9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9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9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9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21"/>
      <c r="B74" s="622"/>
      <c r="C74" s="622"/>
      <c r="D74" s="623"/>
      <c r="E74" s="620"/>
      <c r="F74" s="624"/>
      <c r="G74" s="618"/>
      <c r="H74" s="619"/>
      <c r="I74" s="620"/>
    </row>
    <row r="75" spans="1:9" x14ac:dyDescent="0.2">
      <c r="A75" s="621"/>
      <c r="B75" s="625"/>
      <c r="C75" s="625"/>
      <c r="D75" s="623"/>
      <c r="E75" s="620"/>
      <c r="F75" s="624"/>
      <c r="G75" s="618"/>
      <c r="H75" s="619"/>
      <c r="I75" s="620"/>
    </row>
    <row r="76" spans="1:9" x14ac:dyDescent="0.2">
      <c r="A76" s="621"/>
      <c r="B76" s="626"/>
      <c r="C76" s="626"/>
      <c r="D76" s="623"/>
      <c r="E76" s="672"/>
      <c r="F76" s="673"/>
      <c r="G76" s="674"/>
      <c r="H76" s="674"/>
      <c r="I76" s="674"/>
    </row>
    <row r="77" spans="1:9" x14ac:dyDescent="0.2">
      <c r="A77" s="621"/>
      <c r="B77" s="627"/>
      <c r="C77" s="627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8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D80" s="629"/>
      <c r="E80" s="627"/>
      <c r="F80" s="630"/>
      <c r="G80" s="631"/>
      <c r="H80" s="630"/>
      <c r="I80" s="632"/>
    </row>
    <row r="81" spans="1:9" x14ac:dyDescent="0.2">
      <c r="A81" s="621"/>
      <c r="D81" s="629"/>
      <c r="E81" s="631"/>
      <c r="F81" s="630"/>
      <c r="G81" s="631"/>
      <c r="H81" s="630"/>
      <c r="I81" s="632"/>
    </row>
    <row r="82" spans="1:9" x14ac:dyDescent="0.2">
      <c r="A82" s="621"/>
      <c r="B82" s="627"/>
      <c r="C82" s="627"/>
      <c r="E82" s="633"/>
      <c r="F82" s="634"/>
      <c r="G82" s="633"/>
      <c r="H82" s="634"/>
      <c r="I82" s="620"/>
    </row>
    <row r="83" spans="1:9" x14ac:dyDescent="0.2">
      <c r="A83" s="621"/>
      <c r="E83" s="635"/>
      <c r="F83" s="636"/>
      <c r="G83" s="633"/>
      <c r="H83" s="636"/>
      <c r="I83" s="620"/>
    </row>
    <row r="84" spans="1:9" x14ac:dyDescent="0.2">
      <c r="A84" s="621"/>
      <c r="B84" s="627"/>
      <c r="C84" s="627"/>
      <c r="D84" s="629"/>
      <c r="E84" s="631"/>
      <c r="F84" s="630"/>
      <c r="G84" s="631"/>
      <c r="H84" s="630"/>
      <c r="I84" s="632"/>
    </row>
    <row r="85" spans="1:9" x14ac:dyDescent="0.2">
      <c r="F85" s="675"/>
      <c r="G85" s="676"/>
    </row>
    <row r="86" spans="1:9" x14ac:dyDescent="0.2">
      <c r="F86" s="675"/>
      <c r="G86" s="676"/>
    </row>
    <row r="87" spans="1:9" x14ac:dyDescent="0.2">
      <c r="D87" s="629"/>
      <c r="E87" s="627"/>
      <c r="F87" s="637"/>
      <c r="G87" s="627"/>
      <c r="H87" s="627"/>
      <c r="I87" s="627"/>
    </row>
    <row r="88" spans="1:9" x14ac:dyDescent="0.2">
      <c r="D88" s="629"/>
      <c r="E88" s="627"/>
      <c r="F88" s="677"/>
      <c r="G88" s="627"/>
      <c r="H88" s="627"/>
      <c r="I88" s="627"/>
    </row>
    <row r="89" spans="1:9" x14ac:dyDescent="0.2">
      <c r="D89" s="629"/>
      <c r="E89" s="627"/>
      <c r="F89" s="63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</sheetData>
  <sheetProtection algorithmName="SHA-512" hashValue="Pl5fC/G7Q5k/CBCWF5BCCe3/LKtxsCGAa4VjkjseDozOJNTyXjGJDApcuGieUUUKtGBHIqAKNEeHIKYqQs+52w==" saltValue="r0YyNWLyCUx8UjhkzFUHBA==" spinCount="100000" sheet="1" objects="1" scenarios="1"/>
  <mergeCells count="34">
    <mergeCell ref="B31:C31"/>
    <mergeCell ref="B26:C26"/>
    <mergeCell ref="B27:C27"/>
    <mergeCell ref="B28:C28"/>
    <mergeCell ref="B29:C29"/>
    <mergeCell ref="B30:C30"/>
    <mergeCell ref="J8:K8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3:C13"/>
    <mergeCell ref="G1:I3"/>
    <mergeCell ref="C4:I4"/>
    <mergeCell ref="C5:I5"/>
    <mergeCell ref="B6:I6"/>
    <mergeCell ref="G7:I7"/>
    <mergeCell ref="H8:I8"/>
    <mergeCell ref="A8:A9"/>
    <mergeCell ref="B8:C9"/>
    <mergeCell ref="D8:D9"/>
    <mergeCell ref="E8:E9"/>
    <mergeCell ref="F8:G8"/>
  </mergeCells>
  <printOptions horizontalCentered="1"/>
  <pageMargins left="0.78700000000000003" right="0.78700000000000003" top="1.181" bottom="0.09" header="0.314" footer="0.314"/>
  <pageSetup paperSize="9" fitToWidth="0" orientation="landscape" r:id="rId1"/>
  <ignoredErrors>
    <ignoredError sqref="I13 G1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1"/>
  <sheetViews>
    <sheetView topLeftCell="A25" zoomScale="115" zoomScaleNormal="115" workbookViewId="0">
      <selection activeCell="E17" sqref="E17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7.125" style="583" customWidth="1"/>
    <col min="10" max="10" width="10" style="880" customWidth="1"/>
    <col min="11" max="11" width="13.5" style="880" customWidth="1"/>
    <col min="12" max="12" width="14" style="764" customWidth="1"/>
    <col min="13" max="13" width="9" style="764" customWidth="1"/>
    <col min="14" max="14" width="9" style="583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005" t="s">
        <v>163</v>
      </c>
      <c r="H1" s="1005"/>
      <c r="I1" s="1005"/>
      <c r="M1" s="765"/>
      <c r="N1" s="734"/>
    </row>
    <row r="2" spans="1:22" ht="14.25" x14ac:dyDescent="0.2">
      <c r="A2" s="605"/>
      <c r="B2" s="605"/>
      <c r="C2" s="605"/>
      <c r="D2" s="605"/>
      <c r="E2" s="605"/>
      <c r="F2" s="605"/>
      <c r="G2" s="1005"/>
      <c r="H2" s="1005"/>
      <c r="I2" s="1005"/>
      <c r="L2" s="765"/>
      <c r="M2" s="765"/>
      <c r="N2" s="734"/>
    </row>
    <row r="3" spans="1:22" ht="14.25" x14ac:dyDescent="0.2">
      <c r="A3" s="605"/>
      <c r="B3" s="605"/>
      <c r="C3" s="605"/>
      <c r="D3" s="605"/>
      <c r="E3" s="605"/>
      <c r="F3" s="605"/>
      <c r="G3" s="1005"/>
      <c r="H3" s="1005"/>
      <c r="I3" s="1005"/>
      <c r="L3" s="765"/>
      <c r="M3" s="765"/>
      <c r="N3" s="734"/>
    </row>
    <row r="4" spans="1:22" ht="15" x14ac:dyDescent="0.25">
      <c r="A4" s="639"/>
      <c r="B4" s="639"/>
      <c r="C4" s="1111" t="s">
        <v>117</v>
      </c>
      <c r="D4" s="1111"/>
      <c r="E4" s="1111"/>
      <c r="F4" s="1111"/>
      <c r="G4" s="1111"/>
      <c r="H4" s="1111"/>
      <c r="I4" s="1111"/>
    </row>
    <row r="5" spans="1:22" ht="15" x14ac:dyDescent="0.25">
      <c r="A5" s="639"/>
      <c r="B5" s="639"/>
      <c r="C5" s="1111" t="s">
        <v>100</v>
      </c>
      <c r="D5" s="1111"/>
      <c r="E5" s="1111"/>
      <c r="F5" s="1111"/>
      <c r="G5" s="1111"/>
      <c r="H5" s="1111"/>
      <c r="I5" s="1111"/>
    </row>
    <row r="6" spans="1:22" ht="15" x14ac:dyDescent="0.25">
      <c r="A6" s="617"/>
      <c r="B6" s="1112" t="s">
        <v>185</v>
      </c>
      <c r="C6" s="1112"/>
      <c r="D6" s="1112"/>
      <c r="E6" s="1112"/>
      <c r="F6" s="1112"/>
      <c r="G6" s="1112"/>
      <c r="H6" s="1112"/>
      <c r="I6" s="1112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132" t="s">
        <v>118</v>
      </c>
      <c r="H7" s="1132"/>
      <c r="I7" s="1132"/>
      <c r="J7" s="881"/>
      <c r="K7" s="882"/>
    </row>
    <row r="8" spans="1:22" x14ac:dyDescent="0.2">
      <c r="A8" s="1113" t="s">
        <v>0</v>
      </c>
      <c r="B8" s="1115" t="s">
        <v>8</v>
      </c>
      <c r="C8" s="1116"/>
      <c r="D8" s="1119" t="s">
        <v>20</v>
      </c>
      <c r="E8" s="1121" t="s">
        <v>21</v>
      </c>
      <c r="F8" s="1123" t="s">
        <v>184</v>
      </c>
      <c r="G8" s="1124"/>
      <c r="H8" s="1133" t="s">
        <v>101</v>
      </c>
      <c r="I8" s="1134"/>
      <c r="J8" s="1170"/>
      <c r="K8" s="1170"/>
    </row>
    <row r="9" spans="1:22" ht="13.5" thickBot="1" x14ac:dyDescent="0.25">
      <c r="A9" s="1114"/>
      <c r="B9" s="1117"/>
      <c r="C9" s="1118"/>
      <c r="D9" s="1120"/>
      <c r="E9" s="1122"/>
      <c r="F9" s="642" t="s">
        <v>26</v>
      </c>
      <c r="G9" s="643" t="s">
        <v>6</v>
      </c>
      <c r="H9" s="642" t="s">
        <v>26</v>
      </c>
      <c r="I9" s="643" t="s">
        <v>6</v>
      </c>
      <c r="J9" s="883"/>
      <c r="K9" s="883"/>
    </row>
    <row r="10" spans="1:22" ht="13.5" thickBot="1" x14ac:dyDescent="0.25">
      <c r="A10" s="737" t="s">
        <v>27</v>
      </c>
      <c r="B10" s="1126" t="s">
        <v>28</v>
      </c>
      <c r="C10" s="1127"/>
      <c r="D10" s="759">
        <v>1</v>
      </c>
      <c r="E10" s="739">
        <v>2</v>
      </c>
      <c r="F10" s="740">
        <v>3</v>
      </c>
      <c r="G10" s="741">
        <v>4</v>
      </c>
      <c r="H10" s="740">
        <v>5</v>
      </c>
      <c r="I10" s="741">
        <v>6</v>
      </c>
      <c r="J10" s="884"/>
      <c r="K10" s="884"/>
    </row>
    <row r="11" spans="1:22" ht="13.5" thickBot="1" x14ac:dyDescent="0.25">
      <c r="A11" s="585">
        <v>1</v>
      </c>
      <c r="B11" s="1128" t="s">
        <v>29</v>
      </c>
      <c r="C11" s="1129"/>
      <c r="D11" s="680" t="s">
        <v>30</v>
      </c>
      <c r="E11" s="702">
        <v>94250</v>
      </c>
      <c r="F11" s="660"/>
      <c r="G11" s="712">
        <f>$E11*F11</f>
        <v>0</v>
      </c>
      <c r="H11" s="598">
        <f>F11+'Гүйцэтгэл_2023_1 сар '!H11</f>
        <v>122.80000000000001</v>
      </c>
      <c r="I11" s="712">
        <f>H11*$E$11</f>
        <v>11573900.000000002</v>
      </c>
      <c r="J11" s="885">
        <f>Тодотгол_2023_хавсралт_2!F11-H11</f>
        <v>0</v>
      </c>
      <c r="K11" s="885">
        <f>Тодотгол_2023_хавсралт_2!G11-I11</f>
        <v>0</v>
      </c>
      <c r="L11" s="767"/>
      <c r="M11" s="766"/>
      <c r="N11" s="638"/>
      <c r="O11" s="638"/>
      <c r="P11" s="638"/>
    </row>
    <row r="12" spans="1:22" ht="13.5" thickBot="1" x14ac:dyDescent="0.25">
      <c r="A12" s="587">
        <v>2</v>
      </c>
      <c r="B12" s="1130" t="s">
        <v>35</v>
      </c>
      <c r="C12" s="1131"/>
      <c r="D12" s="681"/>
      <c r="E12" s="588"/>
      <c r="F12" s="589"/>
      <c r="G12" s="653">
        <f>G11</f>
        <v>0</v>
      </c>
      <c r="H12" s="657"/>
      <c r="I12" s="653">
        <f>SUM(I11:I11)</f>
        <v>11573900.000000002</v>
      </c>
      <c r="J12" s="885">
        <f>Тодотгол_2023_хавсралт_2!F12-H12</f>
        <v>0</v>
      </c>
      <c r="K12" s="885">
        <f>Тодотгол_2023_хавсралт_2!G12-I12</f>
        <v>0</v>
      </c>
      <c r="L12" s="767"/>
      <c r="M12" s="766"/>
      <c r="N12" s="638"/>
      <c r="O12" s="638"/>
      <c r="P12" s="638"/>
    </row>
    <row r="13" spans="1:22" ht="13.5" thickBot="1" x14ac:dyDescent="0.25">
      <c r="A13" s="590">
        <v>3</v>
      </c>
      <c r="B13" s="1164" t="s">
        <v>41</v>
      </c>
      <c r="C13" s="1165"/>
      <c r="D13" s="682" t="s">
        <v>40</v>
      </c>
      <c r="E13" s="647">
        <v>55000</v>
      </c>
      <c r="F13" s="652"/>
      <c r="G13" s="690">
        <f>$E13*F13</f>
        <v>0</v>
      </c>
      <c r="H13" s="657"/>
      <c r="I13" s="690">
        <f>H13*$E13</f>
        <v>0</v>
      </c>
      <c r="J13" s="885">
        <f>Тодотгол_2023_хавсралт_2!F13-H13</f>
        <v>720.63635999999997</v>
      </c>
      <c r="K13" s="885">
        <f>Тодотгол_2023_хавсралт_2!G13-I13</f>
        <v>39634999.799999997</v>
      </c>
      <c r="L13" s="767"/>
      <c r="M13" s="766"/>
      <c r="N13" s="638"/>
      <c r="O13" s="638"/>
      <c r="P13" s="638"/>
    </row>
    <row r="14" spans="1:22" ht="13.5" thickBot="1" x14ac:dyDescent="0.25">
      <c r="A14" s="587">
        <v>4</v>
      </c>
      <c r="B14" s="1166" t="s">
        <v>42</v>
      </c>
      <c r="C14" s="1167"/>
      <c r="D14" s="683"/>
      <c r="E14" s="703"/>
      <c r="F14" s="713"/>
      <c r="G14" s="714">
        <f>SUM(G13:G13)</f>
        <v>0</v>
      </c>
      <c r="H14" s="660"/>
      <c r="I14" s="714">
        <f>SUM(I13:I13)</f>
        <v>0</v>
      </c>
      <c r="J14" s="885">
        <f>Тодотгол_2023_хавсралт_2!F14-H14</f>
        <v>0</v>
      </c>
      <c r="K14" s="885">
        <f>Тодотгол_2023_хавсралт_2!G14-I14</f>
        <v>39635000</v>
      </c>
      <c r="L14" s="767"/>
      <c r="M14" s="766"/>
      <c r="N14" s="638"/>
      <c r="O14" s="638"/>
      <c r="P14" s="638"/>
    </row>
    <row r="15" spans="1:22" s="593" customFormat="1" ht="13.5" thickBot="1" x14ac:dyDescent="0.25">
      <c r="A15" s="587">
        <v>5</v>
      </c>
      <c r="B15" s="1163" t="s">
        <v>49</v>
      </c>
      <c r="C15" s="1163"/>
      <c r="D15" s="735"/>
      <c r="E15" s="704"/>
      <c r="F15" s="715"/>
      <c r="G15" s="689">
        <f>SUM(G14)</f>
        <v>0</v>
      </c>
      <c r="H15" s="657"/>
      <c r="I15" s="689">
        <f>SUM(I14)</f>
        <v>0</v>
      </c>
      <c r="J15" s="885">
        <f>Тодотгол_2023_хавсралт_2!F15-H15</f>
        <v>0</v>
      </c>
      <c r="K15" s="885">
        <f>Тодотгол_2023_хавсралт_2!G15-I15</f>
        <v>39635000</v>
      </c>
      <c r="L15" s="767"/>
      <c r="M15" s="766"/>
      <c r="N15" s="638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57" t="s">
        <v>52</v>
      </c>
      <c r="C16" s="1158"/>
      <c r="D16" s="586" t="s">
        <v>53</v>
      </c>
      <c r="E16" s="705">
        <f>92811*0.1+92811</f>
        <v>102092.1</v>
      </c>
      <c r="F16" s="716">
        <v>10</v>
      </c>
      <c r="G16" s="717">
        <f t="shared" ref="G16:G22" si="0">$E16*F16</f>
        <v>1020921</v>
      </c>
      <c r="H16" s="598">
        <f>F16+'Гүйцэтгэл_2023_2_3 сар '!H16</f>
        <v>40</v>
      </c>
      <c r="I16" s="717">
        <f t="shared" ref="I16:I22" si="1">H16*$E16</f>
        <v>4083684</v>
      </c>
      <c r="J16" s="885">
        <f>Тодотгол_2023_хавсралт_2!F16-H16</f>
        <v>50</v>
      </c>
      <c r="K16" s="885">
        <f>Тодотгол_2023_хавсралт_2!G16-I16</f>
        <v>5104605</v>
      </c>
      <c r="L16" s="767"/>
      <c r="M16" s="766"/>
      <c r="N16" s="638"/>
      <c r="O16" s="638"/>
      <c r="P16" s="638"/>
    </row>
    <row r="17" spans="1:16" ht="27.75" customHeight="1" x14ac:dyDescent="0.2">
      <c r="A17" s="594">
        <v>7</v>
      </c>
      <c r="B17" s="1159" t="s">
        <v>54</v>
      </c>
      <c r="C17" s="1160"/>
      <c r="D17" s="595" t="s">
        <v>53</v>
      </c>
      <c r="E17" s="650">
        <f>92846*0.1+92846</f>
        <v>102130.6</v>
      </c>
      <c r="F17" s="720">
        <v>45</v>
      </c>
      <c r="G17" s="719">
        <f t="shared" si="0"/>
        <v>4595877</v>
      </c>
      <c r="H17" s="598">
        <f>F17+'Гүйцэтгэл_2023_2_3 сар '!H17</f>
        <v>180</v>
      </c>
      <c r="I17" s="719">
        <f t="shared" si="1"/>
        <v>18383508</v>
      </c>
      <c r="J17" s="885">
        <f>Тодотгол_2023_хавсралт_2!F17-H17</f>
        <v>180</v>
      </c>
      <c r="K17" s="885">
        <f>Тодотгол_2023_хавсралт_2!G17-I17</f>
        <v>18383508</v>
      </c>
      <c r="L17" s="767"/>
      <c r="M17" s="766"/>
      <c r="N17" s="638"/>
      <c r="O17" s="638"/>
      <c r="P17" s="638"/>
    </row>
    <row r="18" spans="1:16" ht="15" x14ac:dyDescent="0.25">
      <c r="A18" s="594">
        <v>8</v>
      </c>
      <c r="B18" s="1159" t="s">
        <v>55</v>
      </c>
      <c r="C18" s="1160"/>
      <c r="D18" s="595" t="s">
        <v>33</v>
      </c>
      <c r="E18" s="650">
        <v>4000000</v>
      </c>
      <c r="F18" s="718">
        <v>1.375</v>
      </c>
      <c r="G18" s="719">
        <f t="shared" si="0"/>
        <v>5500000</v>
      </c>
      <c r="H18" s="598">
        <f>F18+'Гүйцэтгэл_2023_2_3 сар '!H18</f>
        <v>5.5</v>
      </c>
      <c r="I18" s="719">
        <f t="shared" si="1"/>
        <v>22000000</v>
      </c>
      <c r="J18" s="885">
        <f>Тодотгол_2023_хавсралт_2!F18-H18</f>
        <v>5.5</v>
      </c>
      <c r="K18" s="885">
        <f>Тодотгол_2023_хавсралт_2!G18-I18</f>
        <v>22000000</v>
      </c>
      <c r="L18" s="767"/>
      <c r="M18" s="766"/>
      <c r="N18" s="638"/>
      <c r="O18" s="638"/>
      <c r="P18" s="638"/>
    </row>
    <row r="19" spans="1:16" ht="28.5" customHeight="1" x14ac:dyDescent="0.2">
      <c r="A19" s="594">
        <v>9</v>
      </c>
      <c r="B19" s="1161" t="s">
        <v>56</v>
      </c>
      <c r="C19" s="1162"/>
      <c r="D19" s="595" t="s">
        <v>33</v>
      </c>
      <c r="E19" s="650">
        <v>4000000</v>
      </c>
      <c r="F19" s="720">
        <v>5.125</v>
      </c>
      <c r="G19" s="719">
        <f t="shared" si="0"/>
        <v>20500000</v>
      </c>
      <c r="H19" s="598">
        <f>F19+'Гүйцэтгэл_2023_2_3 сар '!H19</f>
        <v>20.5</v>
      </c>
      <c r="I19" s="719">
        <f t="shared" si="1"/>
        <v>82000000</v>
      </c>
      <c r="J19" s="885">
        <f>Тодотгол_2023_хавсралт_2!F19-H19</f>
        <v>20.5</v>
      </c>
      <c r="K19" s="885">
        <f>Тодотгол_2023_хавсралт_2!G19-I19</f>
        <v>82000000</v>
      </c>
      <c r="L19" s="767"/>
      <c r="M19" s="766"/>
      <c r="N19" s="638"/>
      <c r="O19" s="638"/>
      <c r="P19" s="638"/>
    </row>
    <row r="20" spans="1:16" ht="24" customHeight="1" x14ac:dyDescent="0.2">
      <c r="A20" s="594">
        <v>10</v>
      </c>
      <c r="B20" s="1159" t="s">
        <v>57</v>
      </c>
      <c r="C20" s="1160"/>
      <c r="D20" s="595" t="s">
        <v>53</v>
      </c>
      <c r="E20" s="650">
        <f>92846</f>
        <v>92846</v>
      </c>
      <c r="F20" s="720">
        <v>113</v>
      </c>
      <c r="G20" s="719">
        <f t="shared" si="0"/>
        <v>10491598</v>
      </c>
      <c r="H20" s="598">
        <f>F20+'Гүйцэтгэл_2023_2_3 сар '!H20</f>
        <v>339</v>
      </c>
      <c r="I20" s="719">
        <f t="shared" si="1"/>
        <v>31474794</v>
      </c>
      <c r="J20" s="885">
        <f>Тодотгол_2023_хавсралт_2!F20-H20</f>
        <v>678</v>
      </c>
      <c r="K20" s="885">
        <f>Тодотгол_2023_хавсралт_2!G20-I20</f>
        <v>62949588</v>
      </c>
      <c r="L20" s="767"/>
      <c r="M20" s="766"/>
      <c r="N20" s="638"/>
      <c r="O20" s="638"/>
      <c r="P20" s="638"/>
    </row>
    <row r="21" spans="1:16" x14ac:dyDescent="0.2">
      <c r="A21" s="594">
        <v>11</v>
      </c>
      <c r="B21" s="1161" t="s">
        <v>16</v>
      </c>
      <c r="C21" s="1162"/>
      <c r="D21" s="595" t="s">
        <v>58</v>
      </c>
      <c r="E21" s="650">
        <f>93160.75*0.1+93160.75</f>
        <v>102476.825</v>
      </c>
      <c r="F21" s="599"/>
      <c r="G21" s="719">
        <f t="shared" si="0"/>
        <v>0</v>
      </c>
      <c r="H21" s="596">
        <f t="shared" ref="H21:H22" si="2">F21</f>
        <v>0</v>
      </c>
      <c r="I21" s="719">
        <f t="shared" si="1"/>
        <v>0</v>
      </c>
      <c r="J21" s="885">
        <f>Тодотгол_2023_хавсралт_2!F21-H21</f>
        <v>1017.6</v>
      </c>
      <c r="K21" s="885">
        <f>Тодотгол_2023_хавсралт_2!G21-I21</f>
        <v>104280417.12</v>
      </c>
      <c r="L21" s="767"/>
      <c r="M21" s="766"/>
      <c r="N21" s="638"/>
      <c r="O21" s="638"/>
      <c r="P21" s="638"/>
    </row>
    <row r="22" spans="1:16" ht="13.5" thickBot="1" x14ac:dyDescent="0.25">
      <c r="A22" s="591">
        <v>12</v>
      </c>
      <c r="B22" s="1153" t="s">
        <v>59</v>
      </c>
      <c r="C22" s="1154"/>
      <c r="D22" s="736" t="s">
        <v>60</v>
      </c>
      <c r="E22" s="648">
        <f>123810*0.1+123810</f>
        <v>136191</v>
      </c>
      <c r="F22" s="654"/>
      <c r="G22" s="721">
        <f t="shared" si="0"/>
        <v>0</v>
      </c>
      <c r="H22" s="654">
        <f t="shared" si="2"/>
        <v>0</v>
      </c>
      <c r="I22" s="721">
        <f t="shared" si="1"/>
        <v>0</v>
      </c>
      <c r="J22" s="885">
        <f>Тодотгол_2023_хавсралт_2!F22-H22</f>
        <v>164</v>
      </c>
      <c r="K22" s="885">
        <f>Тодотгол_2023_хавсралт_2!G22-I22</f>
        <v>22335324</v>
      </c>
      <c r="L22" s="767"/>
      <c r="M22" s="766"/>
      <c r="N22" s="638"/>
      <c r="O22" s="638"/>
      <c r="P22" s="638"/>
    </row>
    <row r="23" spans="1:16" ht="13.5" thickBot="1" x14ac:dyDescent="0.25">
      <c r="A23" s="585">
        <v>13</v>
      </c>
      <c r="B23" s="1155" t="s">
        <v>61</v>
      </c>
      <c r="C23" s="1156"/>
      <c r="D23" s="683"/>
      <c r="E23" s="706"/>
      <c r="F23" s="679"/>
      <c r="G23" s="743">
        <f>SUM(G16:G22)</f>
        <v>42108396</v>
      </c>
      <c r="H23" s="657"/>
      <c r="I23" s="653">
        <f>SUM(I16:I22)</f>
        <v>157941986</v>
      </c>
      <c r="J23" s="885">
        <f>Тодотгол_2023_хавсралт_2!F23-H23</f>
        <v>0</v>
      </c>
      <c r="K23" s="885">
        <f>Тодотгол_2023_хавсралт_2!G23-I23</f>
        <v>317053442.12</v>
      </c>
      <c r="L23" s="767"/>
      <c r="M23" s="766"/>
      <c r="N23" s="638"/>
      <c r="O23" s="638"/>
      <c r="P23" s="638"/>
    </row>
    <row r="24" spans="1:16" ht="13.5" thickBot="1" x14ac:dyDescent="0.25">
      <c r="A24" s="600">
        <v>14</v>
      </c>
      <c r="B24" s="1143" t="s">
        <v>84</v>
      </c>
      <c r="C24" s="1144"/>
      <c r="D24" s="686"/>
      <c r="E24" s="678"/>
      <c r="F24" s="722"/>
      <c r="G24" s="744">
        <f>G23+G12+G15</f>
        <v>42108396</v>
      </c>
      <c r="H24" s="657"/>
      <c r="I24" s="653">
        <f>I23+I12+I15</f>
        <v>169515886</v>
      </c>
      <c r="J24" s="885">
        <f>Тодотгол_2023_хавсралт_2!F24-H24</f>
        <v>0</v>
      </c>
      <c r="K24" s="885">
        <f>Тодотгол_2023_хавсралт_2!G24-I24</f>
        <v>356688442.12</v>
      </c>
      <c r="L24" s="767"/>
      <c r="M24" s="766"/>
      <c r="N24" s="638"/>
      <c r="O24" s="638"/>
      <c r="P24" s="638"/>
    </row>
    <row r="25" spans="1:16" ht="13.5" thickBot="1" x14ac:dyDescent="0.25">
      <c r="A25" s="587">
        <v>15</v>
      </c>
      <c r="B25" s="1168" t="s">
        <v>78</v>
      </c>
      <c r="C25" s="1169"/>
      <c r="D25" s="760" t="s">
        <v>79</v>
      </c>
      <c r="E25" s="647">
        <v>1500000</v>
      </c>
      <c r="F25" s="652">
        <v>1</v>
      </c>
      <c r="G25" s="690">
        <f>$E25*F25</f>
        <v>1500000</v>
      </c>
      <c r="H25" s="657">
        <f>F25+'Гүйцэтгэл_2023_2_3 сар '!H25</f>
        <v>4</v>
      </c>
      <c r="I25" s="690">
        <f>H25*$E25</f>
        <v>6000000</v>
      </c>
      <c r="J25" s="885">
        <f>Тодотгол_2023_хавсралт_2!F25-H25</f>
        <v>8</v>
      </c>
      <c r="K25" s="885">
        <f>Тодотгол_2023_хавсралт_2!G25-I25</f>
        <v>12000000</v>
      </c>
      <c r="L25" s="767"/>
      <c r="M25" s="766"/>
      <c r="N25" s="638"/>
      <c r="O25" s="638"/>
      <c r="P25" s="638"/>
    </row>
    <row r="26" spans="1:16" ht="13.5" thickBot="1" x14ac:dyDescent="0.25">
      <c r="A26" s="590">
        <v>16</v>
      </c>
      <c r="B26" s="1145" t="s">
        <v>83</v>
      </c>
      <c r="C26" s="1146"/>
      <c r="D26" s="692"/>
      <c r="E26" s="707"/>
      <c r="F26" s="660"/>
      <c r="G26" s="724">
        <f>SUM(G25:G25)</f>
        <v>1500000</v>
      </c>
      <c r="H26" s="728"/>
      <c r="I26" s="724">
        <f>SUM(I25:I25)</f>
        <v>6000000</v>
      </c>
      <c r="J26" s="885">
        <f>Тодотгол_2023_хавсралт_2!F26-H26</f>
        <v>0</v>
      </c>
      <c r="K26" s="885">
        <f>Тодотгол_2023_хавсралт_2!G26-I26</f>
        <v>12000000</v>
      </c>
      <c r="L26" s="767"/>
      <c r="M26" s="766"/>
      <c r="O26" s="638"/>
      <c r="P26" s="638"/>
    </row>
    <row r="27" spans="1:16" ht="13.5" thickBot="1" x14ac:dyDescent="0.25">
      <c r="A27" s="693">
        <v>17</v>
      </c>
      <c r="B27" s="1147" t="s">
        <v>106</v>
      </c>
      <c r="C27" s="1148"/>
      <c r="D27" s="687"/>
      <c r="E27" s="647"/>
      <c r="F27" s="657"/>
      <c r="G27" s="699">
        <f>G26</f>
        <v>1500000</v>
      </c>
      <c r="H27" s="729"/>
      <c r="I27" s="699">
        <f>I26</f>
        <v>6000000</v>
      </c>
      <c r="J27" s="885">
        <f>Тодотгол_2023_хавсралт_2!F27-H27</f>
        <v>0</v>
      </c>
      <c r="K27" s="885">
        <f>Тодотгол_2023_хавсралт_2!G27-I27</f>
        <v>12000000</v>
      </c>
      <c r="L27" s="767"/>
      <c r="M27" s="766"/>
      <c r="O27" s="638"/>
      <c r="P27" s="638"/>
    </row>
    <row r="28" spans="1:16" ht="13.5" thickBot="1" x14ac:dyDescent="0.25">
      <c r="A28" s="600">
        <v>18</v>
      </c>
      <c r="B28" s="1149" t="s">
        <v>102</v>
      </c>
      <c r="C28" s="1150"/>
      <c r="D28" s="700"/>
      <c r="E28" s="708"/>
      <c r="F28" s="725"/>
      <c r="G28" s="726"/>
      <c r="H28" s="730"/>
      <c r="I28" s="726"/>
      <c r="J28" s="885">
        <f>Тодотгол_2023_хавсралт_2!F28-H28</f>
        <v>0</v>
      </c>
      <c r="K28" s="885">
        <f>Тодотгол_2023_хавсралт_2!G28-I28</f>
        <v>544204328.12</v>
      </c>
      <c r="L28" s="767"/>
      <c r="M28" s="766"/>
      <c r="O28" s="638"/>
      <c r="P28" s="638"/>
    </row>
    <row r="29" spans="1:16" ht="13.5" thickBot="1" x14ac:dyDescent="0.25">
      <c r="A29" s="693">
        <v>19</v>
      </c>
      <c r="B29" s="1151" t="s">
        <v>1</v>
      </c>
      <c r="C29" s="1152"/>
      <c r="D29" s="701" t="s">
        <v>2</v>
      </c>
      <c r="E29" s="709"/>
      <c r="F29" s="657"/>
      <c r="G29" s="699">
        <f>G24+G27</f>
        <v>43608396</v>
      </c>
      <c r="H29" s="731"/>
      <c r="I29" s="699">
        <f>I27+I24</f>
        <v>175515886</v>
      </c>
      <c r="J29" s="885">
        <f>Тодотгол_2023_хавсралт_2!F29-H29</f>
        <v>0</v>
      </c>
      <c r="K29" s="885">
        <f>Тодотгол_2023_хавсралт_2!G29-I29</f>
        <v>-121095453.18799999</v>
      </c>
      <c r="L29" s="767"/>
      <c r="M29" s="766"/>
      <c r="O29" s="638"/>
      <c r="P29" s="638"/>
    </row>
    <row r="30" spans="1:16" ht="13.5" thickBot="1" x14ac:dyDescent="0.25">
      <c r="A30" s="600">
        <v>20</v>
      </c>
      <c r="B30" s="1135" t="s">
        <v>103</v>
      </c>
      <c r="C30" s="1136"/>
      <c r="D30" s="685" t="s">
        <v>2</v>
      </c>
      <c r="E30" s="710"/>
      <c r="F30" s="657"/>
      <c r="G30" s="699">
        <f>G29*0.1</f>
        <v>4360839.6000000006</v>
      </c>
      <c r="H30" s="732"/>
      <c r="I30" s="699">
        <f>I29*0.1</f>
        <v>17551588.600000001</v>
      </c>
      <c r="J30" s="885">
        <f>Тодотгол_2023_хавсралт_2!F30-H30</f>
        <v>0</v>
      </c>
      <c r="K30" s="885">
        <f>Тодотгол_2023_хавсралт_2!G30-I30</f>
        <v>-15085094.600000001</v>
      </c>
      <c r="L30" s="767"/>
      <c r="M30" s="766"/>
      <c r="O30" s="638"/>
      <c r="P30" s="638"/>
    </row>
    <row r="31" spans="1:16" ht="13.5" thickBot="1" x14ac:dyDescent="0.25">
      <c r="A31" s="693">
        <v>21</v>
      </c>
      <c r="B31" s="1137" t="s">
        <v>104</v>
      </c>
      <c r="C31" s="1138"/>
      <c r="D31" s="688"/>
      <c r="E31" s="711"/>
      <c r="F31" s="658"/>
      <c r="G31" s="699">
        <f>SUM(G29:G30)</f>
        <v>47969235.600000001</v>
      </c>
      <c r="H31" s="733"/>
      <c r="I31" s="699">
        <f>SUM(I29:I30)</f>
        <v>193067474.59999999</v>
      </c>
      <c r="J31" s="885">
        <f>Тодотгол_2023_хавсралт_2!F31-H31</f>
        <v>0</v>
      </c>
      <c r="K31" s="885">
        <f>Тодотгол_2023_хавсралт_2!G31-I31</f>
        <v>408023780.33200002</v>
      </c>
      <c r="L31" s="767"/>
      <c r="M31" s="766"/>
      <c r="O31" s="638"/>
      <c r="P31" s="638"/>
    </row>
    <row r="32" spans="1:16" ht="15.75" x14ac:dyDescent="0.25">
      <c r="A32" s="698"/>
      <c r="B32" s="601"/>
      <c r="C32" s="602" t="s">
        <v>107</v>
      </c>
      <c r="D32" s="603"/>
      <c r="E32" s="603"/>
      <c r="F32" s="604" t="s">
        <v>108</v>
      </c>
      <c r="G32" s="605"/>
      <c r="H32" s="606"/>
      <c r="I32" s="607">
        <f>'Гүйцэтгэл_2023_2_3 сар '!I31+'Гүйцэтгэл_2023_4 сар'!G31-'Гүйцэтгэл_2023_4 сар'!I31</f>
        <v>0</v>
      </c>
      <c r="J32" s="885"/>
      <c r="K32" s="885">
        <f>K31+I31-Тодотгол_2023_хавсралт_2!G31</f>
        <v>0</v>
      </c>
      <c r="L32" s="768"/>
      <c r="O32" s="638"/>
      <c r="P32" s="638"/>
    </row>
    <row r="33" spans="1:16" ht="15.75" x14ac:dyDescent="0.25">
      <c r="A33" s="608"/>
      <c r="B33" s="609"/>
      <c r="C33" s="602"/>
      <c r="D33" s="603"/>
      <c r="E33" s="603"/>
      <c r="F33" s="604"/>
      <c r="G33" s="605"/>
      <c r="H33" s="609"/>
      <c r="I33" s="610"/>
      <c r="J33" s="885"/>
      <c r="K33" s="886"/>
      <c r="L33" s="767"/>
      <c r="O33" s="638"/>
      <c r="P33" s="638"/>
    </row>
    <row r="34" spans="1:16" ht="15" x14ac:dyDescent="0.25">
      <c r="A34" s="608"/>
      <c r="B34" s="609"/>
      <c r="C34" s="611" t="s">
        <v>109</v>
      </c>
      <c r="D34" s="612"/>
      <c r="E34" s="612"/>
      <c r="F34" s="604" t="s">
        <v>113</v>
      </c>
      <c r="G34" s="605"/>
      <c r="H34" s="609"/>
      <c r="I34" s="610"/>
      <c r="J34" s="885"/>
      <c r="K34" s="886"/>
      <c r="L34" s="767"/>
      <c r="O34" s="638"/>
    </row>
    <row r="35" spans="1:16" ht="15" x14ac:dyDescent="0.25">
      <c r="A35" s="613"/>
      <c r="B35" s="614"/>
      <c r="C35" s="611"/>
      <c r="D35" s="612"/>
      <c r="E35" s="612"/>
      <c r="F35" s="604"/>
      <c r="G35" s="605"/>
      <c r="H35" s="609"/>
      <c r="I35" s="609"/>
      <c r="J35" s="885"/>
      <c r="K35" s="887"/>
      <c r="L35" s="767"/>
      <c r="O35" s="638"/>
    </row>
    <row r="36" spans="1:16" ht="15" x14ac:dyDescent="0.25">
      <c r="A36" s="613"/>
      <c r="B36" s="614"/>
      <c r="C36" s="611" t="s">
        <v>110</v>
      </c>
      <c r="D36" s="612"/>
      <c r="E36" s="612"/>
      <c r="F36" s="604" t="s">
        <v>111</v>
      </c>
      <c r="G36" s="615"/>
      <c r="H36" s="609"/>
      <c r="I36" s="609"/>
      <c r="J36" s="885"/>
      <c r="K36" s="887"/>
      <c r="N36" s="638"/>
    </row>
    <row r="37" spans="1:16" ht="15" x14ac:dyDescent="0.25">
      <c r="A37" s="608"/>
      <c r="B37" s="613"/>
      <c r="C37" s="611"/>
      <c r="D37" s="612"/>
      <c r="E37" s="612"/>
      <c r="F37" s="604"/>
      <c r="G37" s="615"/>
      <c r="H37" s="609"/>
      <c r="I37" s="609"/>
      <c r="J37" s="885"/>
      <c r="K37" s="886"/>
      <c r="L37" s="767"/>
      <c r="O37" s="638"/>
    </row>
    <row r="38" spans="1:16" ht="15" x14ac:dyDescent="0.25">
      <c r="A38" s="604" t="s">
        <v>119</v>
      </c>
      <c r="B38" s="614"/>
      <c r="C38" s="758" t="s">
        <v>112</v>
      </c>
      <c r="D38" s="615"/>
      <c r="E38" s="615"/>
      <c r="F38" s="604" t="s">
        <v>143</v>
      </c>
      <c r="G38" s="615"/>
      <c r="H38" s="609"/>
      <c r="I38" s="609"/>
      <c r="J38" s="885"/>
      <c r="K38" s="886"/>
      <c r="L38" s="767"/>
      <c r="O38" s="638"/>
    </row>
    <row r="39" spans="1:16" ht="15" x14ac:dyDescent="0.25">
      <c r="A39" s="604" t="s">
        <v>120</v>
      </c>
      <c r="B39" s="613"/>
      <c r="D39" s="615"/>
      <c r="E39" s="615"/>
      <c r="F39" s="583"/>
      <c r="G39" s="615"/>
      <c r="H39" s="609"/>
      <c r="I39" s="609"/>
      <c r="J39" s="885"/>
      <c r="K39" s="886"/>
      <c r="L39" s="767"/>
      <c r="O39" s="638"/>
    </row>
    <row r="40" spans="1:16" ht="15" x14ac:dyDescent="0.25">
      <c r="A40" s="604"/>
      <c r="B40" s="757"/>
      <c r="C40" s="758" t="s">
        <v>114</v>
      </c>
      <c r="D40" s="615"/>
      <c r="E40" s="615"/>
      <c r="F40" s="617" t="s">
        <v>164</v>
      </c>
      <c r="G40" s="604"/>
      <c r="H40" s="604"/>
      <c r="I40" s="604"/>
      <c r="J40" s="885"/>
      <c r="K40" s="886"/>
      <c r="L40" s="767"/>
      <c r="O40" s="638"/>
    </row>
    <row r="41" spans="1:16" ht="14.25" x14ac:dyDescent="0.2">
      <c r="A41" s="608"/>
      <c r="B41" s="609"/>
      <c r="D41" s="583"/>
      <c r="F41" s="583"/>
      <c r="H41" s="609"/>
      <c r="I41" s="609"/>
      <c r="K41" s="888"/>
    </row>
    <row r="42" spans="1:16" ht="15" x14ac:dyDescent="0.25">
      <c r="A42" s="613"/>
      <c r="B42" s="608"/>
      <c r="C42" s="758" t="s">
        <v>115</v>
      </c>
      <c r="D42" s="615"/>
      <c r="E42" s="615"/>
      <c r="F42" s="604" t="s">
        <v>116</v>
      </c>
      <c r="G42" s="604"/>
      <c r="H42" s="609"/>
      <c r="I42" s="609"/>
    </row>
    <row r="43" spans="1:16" ht="14.25" x14ac:dyDescent="0.2">
      <c r="A43" s="615"/>
      <c r="B43" s="615"/>
      <c r="C43" s="615"/>
      <c r="D43" s="615"/>
      <c r="E43" s="615"/>
      <c r="F43" s="615"/>
      <c r="G43" s="615"/>
      <c r="H43" s="615"/>
    </row>
    <row r="44" spans="1:16" x14ac:dyDescent="0.2">
      <c r="A44" s="666"/>
      <c r="B44" s="667"/>
      <c r="C44" s="668"/>
      <c r="D44" s="669"/>
      <c r="E44" s="618"/>
      <c r="F44" s="619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70"/>
      <c r="C46" s="670"/>
      <c r="D46" s="667"/>
      <c r="E46" s="668"/>
      <c r="F46" s="669"/>
      <c r="G46" s="618"/>
      <c r="H46" s="619"/>
      <c r="I46" s="608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20"/>
      <c r="J48" s="889"/>
    </row>
    <row r="49" spans="1:9" x14ac:dyDescent="0.2">
      <c r="A49" s="666"/>
      <c r="B49" s="670"/>
      <c r="C49" s="670"/>
      <c r="D49" s="667"/>
      <c r="E49" s="668"/>
      <c r="F49" s="669"/>
      <c r="G49" s="618"/>
      <c r="H49" s="619"/>
      <c r="I49" s="620"/>
    </row>
    <row r="50" spans="1:9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9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9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9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9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9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9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9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9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9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9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9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9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9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9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21"/>
      <c r="B74" s="622"/>
      <c r="C74" s="622"/>
      <c r="D74" s="623"/>
      <c r="E74" s="620"/>
      <c r="F74" s="624"/>
      <c r="G74" s="618"/>
      <c r="H74" s="619"/>
      <c r="I74" s="620"/>
    </row>
    <row r="75" spans="1:9" x14ac:dyDescent="0.2">
      <c r="A75" s="621"/>
      <c r="B75" s="625"/>
      <c r="C75" s="625"/>
      <c r="D75" s="623"/>
      <c r="E75" s="620"/>
      <c r="F75" s="624"/>
      <c r="G75" s="618"/>
      <c r="H75" s="619"/>
      <c r="I75" s="620"/>
    </row>
    <row r="76" spans="1:9" x14ac:dyDescent="0.2">
      <c r="A76" s="621"/>
      <c r="B76" s="626"/>
      <c r="C76" s="626"/>
      <c r="D76" s="623"/>
      <c r="E76" s="672"/>
      <c r="F76" s="673"/>
      <c r="G76" s="674"/>
      <c r="H76" s="674"/>
      <c r="I76" s="674"/>
    </row>
    <row r="77" spans="1:9" x14ac:dyDescent="0.2">
      <c r="A77" s="621"/>
      <c r="B77" s="627"/>
      <c r="C77" s="627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8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D80" s="629"/>
      <c r="E80" s="627"/>
      <c r="F80" s="630"/>
      <c r="G80" s="631"/>
      <c r="H80" s="630"/>
      <c r="I80" s="632"/>
    </row>
    <row r="81" spans="1:9" x14ac:dyDescent="0.2">
      <c r="A81" s="621"/>
      <c r="D81" s="629"/>
      <c r="E81" s="631"/>
      <c r="F81" s="630"/>
      <c r="G81" s="631"/>
      <c r="H81" s="630"/>
      <c r="I81" s="632"/>
    </row>
    <row r="82" spans="1:9" x14ac:dyDescent="0.2">
      <c r="A82" s="621"/>
      <c r="B82" s="627"/>
      <c r="C82" s="627"/>
      <c r="E82" s="633"/>
      <c r="F82" s="634"/>
      <c r="G82" s="633"/>
      <c r="H82" s="634"/>
      <c r="I82" s="620"/>
    </row>
    <row r="83" spans="1:9" x14ac:dyDescent="0.2">
      <c r="A83" s="621"/>
      <c r="E83" s="635"/>
      <c r="F83" s="636"/>
      <c r="G83" s="633"/>
      <c r="H83" s="636"/>
      <c r="I83" s="620"/>
    </row>
    <row r="84" spans="1:9" x14ac:dyDescent="0.2">
      <c r="A84" s="621"/>
      <c r="B84" s="627"/>
      <c r="C84" s="627"/>
      <c r="D84" s="629"/>
      <c r="E84" s="631"/>
      <c r="F84" s="630"/>
      <c r="G84" s="631"/>
      <c r="H84" s="630"/>
      <c r="I84" s="632"/>
    </row>
    <row r="85" spans="1:9" x14ac:dyDescent="0.2">
      <c r="F85" s="675"/>
      <c r="G85" s="676"/>
    </row>
    <row r="86" spans="1:9" x14ac:dyDescent="0.2">
      <c r="F86" s="675"/>
      <c r="G86" s="676"/>
    </row>
    <row r="87" spans="1:9" x14ac:dyDescent="0.2">
      <c r="D87" s="629"/>
      <c r="E87" s="627"/>
      <c r="F87" s="637"/>
      <c r="G87" s="627"/>
      <c r="H87" s="627"/>
      <c r="I87" s="627"/>
    </row>
    <row r="88" spans="1:9" x14ac:dyDescent="0.2">
      <c r="D88" s="629"/>
      <c r="E88" s="627"/>
      <c r="F88" s="677"/>
      <c r="G88" s="627"/>
      <c r="H88" s="627"/>
      <c r="I88" s="627"/>
    </row>
    <row r="89" spans="1:9" x14ac:dyDescent="0.2">
      <c r="D89" s="629"/>
      <c r="E89" s="627"/>
      <c r="F89" s="63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</sheetData>
  <sheetProtection algorithmName="SHA-512" hashValue="V77UJxTKB4rtJ1WCFY7F9YQMyiNf7c50wbkAd0YtIayjR2Y8SWzjnrSmvPb+nJOENFQ2uuulugtd6qfNeOulEg==" saltValue="XbutvWDPpUulmC49rH59Iw==" spinCount="100000" sheet="1" objects="1" scenarios="1"/>
  <mergeCells count="34">
    <mergeCell ref="A8:A9"/>
    <mergeCell ref="B8:C9"/>
    <mergeCell ref="D8:D9"/>
    <mergeCell ref="E8:E9"/>
    <mergeCell ref="F8:G8"/>
    <mergeCell ref="G1:I3"/>
    <mergeCell ref="C4:I4"/>
    <mergeCell ref="C5:I5"/>
    <mergeCell ref="B6:I6"/>
    <mergeCell ref="G7:I7"/>
    <mergeCell ref="B19:C19"/>
    <mergeCell ref="H8:I8"/>
    <mergeCell ref="J8:K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</mergeCells>
  <printOptions horizontalCentered="1"/>
  <pageMargins left="0.78700000000000003" right="0.78700000000000003" top="1.181" bottom="0.09" header="0.314" footer="0.314"/>
  <pageSetup paperSize="9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1"/>
  <sheetViews>
    <sheetView topLeftCell="A13" zoomScale="115" zoomScaleNormal="115" workbookViewId="0">
      <selection activeCell="I47" sqref="I47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7.125" style="583" customWidth="1"/>
    <col min="10" max="10" width="10" style="880" customWidth="1"/>
    <col min="11" max="11" width="13.5" style="880" customWidth="1"/>
    <col min="12" max="12" width="14" style="764" customWidth="1"/>
    <col min="13" max="13" width="9" style="764" customWidth="1"/>
    <col min="14" max="14" width="9" style="583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005" t="s">
        <v>163</v>
      </c>
      <c r="H1" s="1005"/>
      <c r="I1" s="1005"/>
      <c r="M1" s="765"/>
      <c r="N1" s="734"/>
    </row>
    <row r="2" spans="1:22" ht="14.25" x14ac:dyDescent="0.2">
      <c r="A2" s="605"/>
      <c r="B2" s="605"/>
      <c r="C2" s="605"/>
      <c r="D2" s="605"/>
      <c r="E2" s="605"/>
      <c r="F2" s="605"/>
      <c r="G2" s="1005"/>
      <c r="H2" s="1005"/>
      <c r="I2" s="1005"/>
      <c r="L2" s="765"/>
      <c r="M2" s="765"/>
      <c r="N2" s="734"/>
    </row>
    <row r="3" spans="1:22" ht="14.25" x14ac:dyDescent="0.2">
      <c r="A3" s="605"/>
      <c r="B3" s="605"/>
      <c r="C3" s="605"/>
      <c r="D3" s="605"/>
      <c r="E3" s="605"/>
      <c r="F3" s="605"/>
      <c r="G3" s="1005"/>
      <c r="H3" s="1005"/>
      <c r="I3" s="1005"/>
      <c r="L3" s="765"/>
      <c r="M3" s="765"/>
      <c r="N3" s="734"/>
    </row>
    <row r="4" spans="1:22" ht="15" x14ac:dyDescent="0.25">
      <c r="A4" s="639"/>
      <c r="B4" s="639"/>
      <c r="C4" s="1111" t="s">
        <v>117</v>
      </c>
      <c r="D4" s="1111"/>
      <c r="E4" s="1111"/>
      <c r="F4" s="1111"/>
      <c r="G4" s="1111"/>
      <c r="H4" s="1111"/>
      <c r="I4" s="1111"/>
    </row>
    <row r="5" spans="1:22" ht="15" x14ac:dyDescent="0.25">
      <c r="A5" s="639"/>
      <c r="B5" s="639"/>
      <c r="C5" s="1111" t="s">
        <v>100</v>
      </c>
      <c r="D5" s="1111"/>
      <c r="E5" s="1111"/>
      <c r="F5" s="1111"/>
      <c r="G5" s="1111"/>
      <c r="H5" s="1111"/>
      <c r="I5" s="1111"/>
    </row>
    <row r="6" spans="1:22" ht="15" x14ac:dyDescent="0.25">
      <c r="A6" s="617"/>
      <c r="B6" s="1112" t="s">
        <v>186</v>
      </c>
      <c r="C6" s="1112"/>
      <c r="D6" s="1112"/>
      <c r="E6" s="1112"/>
      <c r="F6" s="1112"/>
      <c r="G6" s="1112"/>
      <c r="H6" s="1112"/>
      <c r="I6" s="1112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132" t="s">
        <v>118</v>
      </c>
      <c r="H7" s="1132"/>
      <c r="I7" s="1132"/>
      <c r="J7" s="881"/>
      <c r="K7" s="882"/>
    </row>
    <row r="8" spans="1:22" x14ac:dyDescent="0.2">
      <c r="A8" s="1113" t="s">
        <v>0</v>
      </c>
      <c r="B8" s="1115" t="s">
        <v>8</v>
      </c>
      <c r="C8" s="1116"/>
      <c r="D8" s="1119" t="s">
        <v>20</v>
      </c>
      <c r="E8" s="1121" t="s">
        <v>21</v>
      </c>
      <c r="F8" s="1123" t="s">
        <v>187</v>
      </c>
      <c r="G8" s="1124"/>
      <c r="H8" s="1133" t="s">
        <v>101</v>
      </c>
      <c r="I8" s="1134"/>
      <c r="J8" s="1170"/>
      <c r="K8" s="1170"/>
    </row>
    <row r="9" spans="1:22" ht="13.5" thickBot="1" x14ac:dyDescent="0.25">
      <c r="A9" s="1114"/>
      <c r="B9" s="1117"/>
      <c r="C9" s="1118"/>
      <c r="D9" s="1120"/>
      <c r="E9" s="1122"/>
      <c r="F9" s="642" t="s">
        <v>26</v>
      </c>
      <c r="G9" s="643" t="s">
        <v>6</v>
      </c>
      <c r="H9" s="642" t="s">
        <v>26</v>
      </c>
      <c r="I9" s="643" t="s">
        <v>6</v>
      </c>
      <c r="J9" s="883"/>
      <c r="K9" s="883"/>
    </row>
    <row r="10" spans="1:22" ht="13.5" thickBot="1" x14ac:dyDescent="0.25">
      <c r="A10" s="737" t="s">
        <v>27</v>
      </c>
      <c r="B10" s="1126" t="s">
        <v>28</v>
      </c>
      <c r="C10" s="1127"/>
      <c r="D10" s="761">
        <v>1</v>
      </c>
      <c r="E10" s="739">
        <v>2</v>
      </c>
      <c r="F10" s="740">
        <v>3</v>
      </c>
      <c r="G10" s="741">
        <v>4</v>
      </c>
      <c r="H10" s="740">
        <v>5</v>
      </c>
      <c r="I10" s="741">
        <v>6</v>
      </c>
      <c r="J10" s="884"/>
      <c r="K10" s="884"/>
    </row>
    <row r="11" spans="1:22" ht="13.5" thickBot="1" x14ac:dyDescent="0.25">
      <c r="A11" s="585">
        <v>1</v>
      </c>
      <c r="B11" s="1128" t="s">
        <v>29</v>
      </c>
      <c r="C11" s="1129"/>
      <c r="D11" s="680" t="s">
        <v>30</v>
      </c>
      <c r="E11" s="702">
        <v>94250</v>
      </c>
      <c r="F11" s="660"/>
      <c r="G11" s="712">
        <f>$E11*F11</f>
        <v>0</v>
      </c>
      <c r="H11" s="598">
        <f>F11+'Гүйцэтгэл_2023_4 сар'!H11</f>
        <v>122.80000000000001</v>
      </c>
      <c r="I11" s="712">
        <f>H11*$E$11</f>
        <v>11573900.000000002</v>
      </c>
      <c r="J11" s="885">
        <f>Тодотгол_2023_хавсралт_2!F11-H11</f>
        <v>0</v>
      </c>
      <c r="K11" s="885">
        <f>Тодотгол_2023_хавсралт_2!G11-I11</f>
        <v>0</v>
      </c>
      <c r="L11" s="767"/>
      <c r="M11" s="766"/>
      <c r="N11" s="638"/>
      <c r="O11" s="638"/>
      <c r="P11" s="638"/>
    </row>
    <row r="12" spans="1:22" ht="13.5" thickBot="1" x14ac:dyDescent="0.25">
      <c r="A12" s="587">
        <v>2</v>
      </c>
      <c r="B12" s="1130" t="s">
        <v>35</v>
      </c>
      <c r="C12" s="1131"/>
      <c r="D12" s="681"/>
      <c r="E12" s="588"/>
      <c r="F12" s="589"/>
      <c r="G12" s="653">
        <f>G11</f>
        <v>0</v>
      </c>
      <c r="H12" s="657"/>
      <c r="I12" s="653">
        <f>SUM(I11:I11)</f>
        <v>11573900.000000002</v>
      </c>
      <c r="J12" s="885">
        <f>Тодотгол_2023_хавсралт_2!F12-H12</f>
        <v>0</v>
      </c>
      <c r="K12" s="885">
        <f>Тодотгол_2023_хавсралт_2!G12-I12</f>
        <v>0</v>
      </c>
      <c r="L12" s="767"/>
      <c r="M12" s="766"/>
      <c r="N12" s="638"/>
      <c r="O12" s="638"/>
      <c r="P12" s="638"/>
    </row>
    <row r="13" spans="1:22" ht="13.5" thickBot="1" x14ac:dyDescent="0.25">
      <c r="A13" s="590">
        <v>3</v>
      </c>
      <c r="B13" s="1164" t="s">
        <v>41</v>
      </c>
      <c r="C13" s="1165"/>
      <c r="D13" s="682" t="s">
        <v>40</v>
      </c>
      <c r="E13" s="647">
        <v>55000</v>
      </c>
      <c r="F13" s="652"/>
      <c r="G13" s="690">
        <f>$E13*F13</f>
        <v>0</v>
      </c>
      <c r="H13" s="598">
        <f>F13+'Гүйцэтгэл_2023_4 сар'!H13</f>
        <v>0</v>
      </c>
      <c r="I13" s="690">
        <f>H13*$E13</f>
        <v>0</v>
      </c>
      <c r="J13" s="885">
        <f>Тодотгол_2023_хавсралт_2!F13-H13</f>
        <v>720.63635999999997</v>
      </c>
      <c r="K13" s="885">
        <f>Тодотгол_2023_хавсралт_2!G13-I13</f>
        <v>39634999.799999997</v>
      </c>
      <c r="L13" s="767"/>
      <c r="M13" s="766"/>
      <c r="N13" s="638"/>
      <c r="O13" s="638"/>
      <c r="P13" s="638"/>
    </row>
    <row r="14" spans="1:22" ht="13.5" thickBot="1" x14ac:dyDescent="0.25">
      <c r="A14" s="587">
        <v>4</v>
      </c>
      <c r="B14" s="1166" t="s">
        <v>42</v>
      </c>
      <c r="C14" s="1167"/>
      <c r="D14" s="683"/>
      <c r="E14" s="703"/>
      <c r="F14" s="713"/>
      <c r="G14" s="714">
        <f>SUM(G13:G13)</f>
        <v>0</v>
      </c>
      <c r="H14" s="660"/>
      <c r="I14" s="714">
        <f>SUM(I13:I13)</f>
        <v>0</v>
      </c>
      <c r="J14" s="885">
        <f>Тодотгол_2023_хавсралт_2!F14-H14</f>
        <v>0</v>
      </c>
      <c r="K14" s="885">
        <f>Тодотгол_2023_хавсралт_2!G14-I14</f>
        <v>39635000</v>
      </c>
      <c r="L14" s="767"/>
      <c r="M14" s="766"/>
      <c r="N14" s="638"/>
      <c r="O14" s="638"/>
      <c r="P14" s="638"/>
    </row>
    <row r="15" spans="1:22" s="593" customFormat="1" ht="13.5" thickBot="1" x14ac:dyDescent="0.25">
      <c r="A15" s="587">
        <v>5</v>
      </c>
      <c r="B15" s="1163" t="s">
        <v>49</v>
      </c>
      <c r="C15" s="1163"/>
      <c r="D15" s="735"/>
      <c r="E15" s="704"/>
      <c r="F15" s="715"/>
      <c r="G15" s="689">
        <f>SUM(G14)</f>
        <v>0</v>
      </c>
      <c r="H15" s="657"/>
      <c r="I15" s="689">
        <f>SUM(I14)</f>
        <v>0</v>
      </c>
      <c r="J15" s="885">
        <f>Тодотгол_2023_хавсралт_2!F15-H15</f>
        <v>0</v>
      </c>
      <c r="K15" s="885">
        <f>Тодотгол_2023_хавсралт_2!G15-I15</f>
        <v>39635000</v>
      </c>
      <c r="L15" s="767"/>
      <c r="M15" s="766"/>
      <c r="N15" s="638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57" t="s">
        <v>52</v>
      </c>
      <c r="C16" s="1158"/>
      <c r="D16" s="586" t="s">
        <v>53</v>
      </c>
      <c r="E16" s="705">
        <f>92811*0.1+92811</f>
        <v>102092.1</v>
      </c>
      <c r="F16" s="716">
        <v>10</v>
      </c>
      <c r="G16" s="717">
        <f t="shared" ref="G16:G22" si="0">$E16*F16</f>
        <v>1020921</v>
      </c>
      <c r="H16" s="598">
        <f>F16+'Гүйцэтгэл_2023_4 сар'!H16</f>
        <v>50</v>
      </c>
      <c r="I16" s="717">
        <f t="shared" ref="I16:I22" si="1">H16*$E16</f>
        <v>5104605</v>
      </c>
      <c r="J16" s="885">
        <f>Тодотгол_2023_хавсралт_2!F16-H16</f>
        <v>40</v>
      </c>
      <c r="K16" s="885">
        <f>Тодотгол_2023_хавсралт_2!G16-I16</f>
        <v>4083684</v>
      </c>
      <c r="L16" s="767"/>
      <c r="M16" s="766"/>
      <c r="N16" s="638"/>
      <c r="O16" s="638"/>
      <c r="P16" s="638"/>
    </row>
    <row r="17" spans="1:16" ht="27.75" customHeight="1" x14ac:dyDescent="0.2">
      <c r="A17" s="594">
        <v>7</v>
      </c>
      <c r="B17" s="1159" t="s">
        <v>54</v>
      </c>
      <c r="C17" s="1160"/>
      <c r="D17" s="595" t="s">
        <v>53</v>
      </c>
      <c r="E17" s="650">
        <f>92846*0.1+92846</f>
        <v>102130.6</v>
      </c>
      <c r="F17" s="720">
        <v>45</v>
      </c>
      <c r="G17" s="719">
        <f t="shared" si="0"/>
        <v>4595877</v>
      </c>
      <c r="H17" s="598">
        <f>F17+'Гүйцэтгэл_2023_4 сар'!H17</f>
        <v>225</v>
      </c>
      <c r="I17" s="719">
        <f t="shared" si="1"/>
        <v>22979385</v>
      </c>
      <c r="J17" s="885">
        <f>Тодотгол_2023_хавсралт_2!F17-H17</f>
        <v>135</v>
      </c>
      <c r="K17" s="885">
        <f>Тодотгол_2023_хавсралт_2!G17-I17</f>
        <v>13787631</v>
      </c>
      <c r="L17" s="767"/>
      <c r="M17" s="766"/>
      <c r="N17" s="638"/>
      <c r="O17" s="638"/>
      <c r="P17" s="638"/>
    </row>
    <row r="18" spans="1:16" ht="15" x14ac:dyDescent="0.25">
      <c r="A18" s="594">
        <v>8</v>
      </c>
      <c r="B18" s="1159" t="s">
        <v>55</v>
      </c>
      <c r="C18" s="1160"/>
      <c r="D18" s="595" t="s">
        <v>33</v>
      </c>
      <c r="E18" s="650">
        <v>4000000</v>
      </c>
      <c r="F18" s="718">
        <v>1.375</v>
      </c>
      <c r="G18" s="719">
        <f t="shared" si="0"/>
        <v>5500000</v>
      </c>
      <c r="H18" s="598">
        <f>F18+'Гүйцэтгэл_2023_4 сар'!H18</f>
        <v>6.875</v>
      </c>
      <c r="I18" s="719">
        <f t="shared" si="1"/>
        <v>27500000</v>
      </c>
      <c r="J18" s="885">
        <f>Тодотгол_2023_хавсралт_2!F18-H18</f>
        <v>4.125</v>
      </c>
      <c r="K18" s="885">
        <f>Тодотгол_2023_хавсралт_2!G18-I18</f>
        <v>16500000</v>
      </c>
      <c r="L18" s="767"/>
      <c r="M18" s="766"/>
      <c r="N18" s="638"/>
      <c r="O18" s="638"/>
      <c r="P18" s="638"/>
    </row>
    <row r="19" spans="1:16" ht="28.5" customHeight="1" x14ac:dyDescent="0.2">
      <c r="A19" s="594">
        <v>9</v>
      </c>
      <c r="B19" s="1161" t="s">
        <v>56</v>
      </c>
      <c r="C19" s="1162"/>
      <c r="D19" s="595" t="s">
        <v>33</v>
      </c>
      <c r="E19" s="650">
        <v>4000000</v>
      </c>
      <c r="F19" s="720">
        <v>5.125</v>
      </c>
      <c r="G19" s="719">
        <f t="shared" si="0"/>
        <v>20500000</v>
      </c>
      <c r="H19" s="598">
        <f>F19+'Гүйцэтгэл_2023_4 сар'!H19</f>
        <v>25.625</v>
      </c>
      <c r="I19" s="719">
        <f t="shared" si="1"/>
        <v>102500000</v>
      </c>
      <c r="J19" s="885">
        <f>Тодотгол_2023_хавсралт_2!F19-H19</f>
        <v>15.375</v>
      </c>
      <c r="K19" s="885">
        <f>Тодотгол_2023_хавсралт_2!G19-I19</f>
        <v>61500000</v>
      </c>
      <c r="L19" s="767"/>
      <c r="M19" s="766"/>
      <c r="N19" s="638"/>
      <c r="O19" s="638"/>
      <c r="P19" s="638"/>
    </row>
    <row r="20" spans="1:16" ht="24" customHeight="1" x14ac:dyDescent="0.2">
      <c r="A20" s="594">
        <v>10</v>
      </c>
      <c r="B20" s="1159" t="s">
        <v>57</v>
      </c>
      <c r="C20" s="1160"/>
      <c r="D20" s="595" t="s">
        <v>53</v>
      </c>
      <c r="E20" s="650">
        <f>92846</f>
        <v>92846</v>
      </c>
      <c r="F20" s="720">
        <v>113</v>
      </c>
      <c r="G20" s="719">
        <f t="shared" si="0"/>
        <v>10491598</v>
      </c>
      <c r="H20" s="598">
        <f>F20+'Гүйцэтгэл_2023_4 сар'!H20</f>
        <v>452</v>
      </c>
      <c r="I20" s="719">
        <f t="shared" si="1"/>
        <v>41966392</v>
      </c>
      <c r="J20" s="885">
        <f>Тодотгол_2023_хавсралт_2!F20-H20</f>
        <v>565</v>
      </c>
      <c r="K20" s="885">
        <f>Тодотгол_2023_хавсралт_2!G20-I20</f>
        <v>52457990</v>
      </c>
      <c r="L20" s="767"/>
      <c r="M20" s="766"/>
      <c r="N20" s="638"/>
      <c r="O20" s="638"/>
      <c r="P20" s="638"/>
    </row>
    <row r="21" spans="1:16" x14ac:dyDescent="0.2">
      <c r="A21" s="594">
        <v>11</v>
      </c>
      <c r="B21" s="1161" t="s">
        <v>16</v>
      </c>
      <c r="C21" s="1162"/>
      <c r="D21" s="595" t="s">
        <v>58</v>
      </c>
      <c r="E21" s="650">
        <f>93160.75*0.1+93160.75</f>
        <v>102476.825</v>
      </c>
      <c r="F21" s="599"/>
      <c r="G21" s="719">
        <f t="shared" si="0"/>
        <v>0</v>
      </c>
      <c r="H21" s="598">
        <f>F21+'Гүйцэтгэл_2023_4 сар'!H21</f>
        <v>0</v>
      </c>
      <c r="I21" s="719">
        <f t="shared" si="1"/>
        <v>0</v>
      </c>
      <c r="J21" s="885">
        <f>Тодотгол_2023_хавсралт_2!F21-H21</f>
        <v>1017.6</v>
      </c>
      <c r="K21" s="885">
        <f>Тодотгол_2023_хавсралт_2!G21-I21</f>
        <v>104280417.12</v>
      </c>
      <c r="L21" s="767"/>
      <c r="M21" s="766"/>
      <c r="N21" s="638"/>
      <c r="O21" s="638"/>
      <c r="P21" s="638"/>
    </row>
    <row r="22" spans="1:16" ht="13.5" thickBot="1" x14ac:dyDescent="0.25">
      <c r="A22" s="591">
        <v>12</v>
      </c>
      <c r="B22" s="1153" t="s">
        <v>59</v>
      </c>
      <c r="C22" s="1154"/>
      <c r="D22" s="736" t="s">
        <v>60</v>
      </c>
      <c r="E22" s="648">
        <f>123810*0.1+123810</f>
        <v>136191</v>
      </c>
      <c r="F22" s="654"/>
      <c r="G22" s="721">
        <f t="shared" si="0"/>
        <v>0</v>
      </c>
      <c r="H22" s="598">
        <f>F22+'Гүйцэтгэл_2023_4 сар'!H22</f>
        <v>0</v>
      </c>
      <c r="I22" s="721">
        <f t="shared" si="1"/>
        <v>0</v>
      </c>
      <c r="J22" s="885">
        <f>Тодотгол_2023_хавсралт_2!F22-H22</f>
        <v>164</v>
      </c>
      <c r="K22" s="885">
        <f>Тодотгол_2023_хавсралт_2!G22-I22</f>
        <v>22335324</v>
      </c>
      <c r="L22" s="767"/>
      <c r="M22" s="766"/>
      <c r="N22" s="638"/>
      <c r="O22" s="638"/>
      <c r="P22" s="638"/>
    </row>
    <row r="23" spans="1:16" ht="13.5" thickBot="1" x14ac:dyDescent="0.25">
      <c r="A23" s="585">
        <v>13</v>
      </c>
      <c r="B23" s="1155" t="s">
        <v>61</v>
      </c>
      <c r="C23" s="1156"/>
      <c r="D23" s="683"/>
      <c r="E23" s="706"/>
      <c r="F23" s="679"/>
      <c r="G23" s="743">
        <f>SUM(G16:G22)</f>
        <v>42108396</v>
      </c>
      <c r="H23" s="657"/>
      <c r="I23" s="653">
        <f>SUM(I16:I22)</f>
        <v>200050382</v>
      </c>
      <c r="J23" s="885">
        <f>Тодотгол_2023_хавсралт_2!F23-H23</f>
        <v>0</v>
      </c>
      <c r="K23" s="885">
        <f>Тодотгол_2023_хавсралт_2!G23-I23</f>
        <v>274945046.12</v>
      </c>
      <c r="L23" s="767"/>
      <c r="M23" s="766"/>
      <c r="N23" s="638"/>
      <c r="O23" s="638"/>
      <c r="P23" s="638"/>
    </row>
    <row r="24" spans="1:16" ht="13.5" thickBot="1" x14ac:dyDescent="0.25">
      <c r="A24" s="600">
        <v>14</v>
      </c>
      <c r="B24" s="1143" t="s">
        <v>84</v>
      </c>
      <c r="C24" s="1144"/>
      <c r="D24" s="686"/>
      <c r="E24" s="678"/>
      <c r="F24" s="722"/>
      <c r="G24" s="744">
        <f>G23+G12+G15</f>
        <v>42108396</v>
      </c>
      <c r="H24" s="657"/>
      <c r="I24" s="653">
        <f>I23+I12+I15</f>
        <v>211624282</v>
      </c>
      <c r="J24" s="885">
        <f>Тодотгол_2023_хавсралт_2!F24-H24</f>
        <v>0</v>
      </c>
      <c r="K24" s="885">
        <f>Тодотгол_2023_хавсралт_2!G24-I24</f>
        <v>314580046.12</v>
      </c>
      <c r="L24" s="767"/>
      <c r="M24" s="766"/>
      <c r="N24" s="638"/>
      <c r="O24" s="638"/>
      <c r="P24" s="638"/>
    </row>
    <row r="25" spans="1:16" ht="13.5" thickBot="1" x14ac:dyDescent="0.25">
      <c r="A25" s="587">
        <v>15</v>
      </c>
      <c r="B25" s="1168" t="s">
        <v>78</v>
      </c>
      <c r="C25" s="1169"/>
      <c r="D25" s="760" t="s">
        <v>79</v>
      </c>
      <c r="E25" s="647">
        <v>1500000</v>
      </c>
      <c r="F25" s="652">
        <v>1</v>
      </c>
      <c r="G25" s="690">
        <f>$E25*F25</f>
        <v>1500000</v>
      </c>
      <c r="H25" s="647">
        <f>F25+'Гүйцэтгэл_2023_4 сар'!H25</f>
        <v>5</v>
      </c>
      <c r="I25" s="890">
        <f>H25*$E25</f>
        <v>7500000</v>
      </c>
      <c r="J25" s="885">
        <f>Тодотгол_2023_хавсралт_2!F25-H25</f>
        <v>7</v>
      </c>
      <c r="K25" s="885">
        <f>Тодотгол_2023_хавсралт_2!G25-I25</f>
        <v>10500000</v>
      </c>
      <c r="L25" s="767"/>
      <c r="M25" s="766"/>
      <c r="N25" s="638"/>
      <c r="O25" s="638"/>
      <c r="P25" s="638"/>
    </row>
    <row r="26" spans="1:16" ht="13.5" thickBot="1" x14ac:dyDescent="0.25">
      <c r="A26" s="590">
        <v>16</v>
      </c>
      <c r="B26" s="1145" t="s">
        <v>83</v>
      </c>
      <c r="C26" s="1146"/>
      <c r="D26" s="692"/>
      <c r="E26" s="707"/>
      <c r="F26" s="660"/>
      <c r="G26" s="724">
        <f>SUM(G25:G25)</f>
        <v>1500000</v>
      </c>
      <c r="H26" s="728"/>
      <c r="I26" s="724">
        <f>SUM(I25:I25)</f>
        <v>7500000</v>
      </c>
      <c r="J26" s="885">
        <f>Тодотгол_2023_хавсралт_2!F26-H26</f>
        <v>0</v>
      </c>
      <c r="K26" s="885">
        <f>Тодотгол_2023_хавсралт_2!G26-I26</f>
        <v>10500000</v>
      </c>
      <c r="L26" s="767"/>
      <c r="M26" s="766"/>
      <c r="O26" s="638"/>
      <c r="P26" s="638"/>
    </row>
    <row r="27" spans="1:16" ht="13.5" thickBot="1" x14ac:dyDescent="0.25">
      <c r="A27" s="693">
        <v>17</v>
      </c>
      <c r="B27" s="1147" t="s">
        <v>106</v>
      </c>
      <c r="C27" s="1148"/>
      <c r="D27" s="687"/>
      <c r="E27" s="647"/>
      <c r="F27" s="657"/>
      <c r="G27" s="699">
        <f>G26</f>
        <v>1500000</v>
      </c>
      <c r="H27" s="729"/>
      <c r="I27" s="699">
        <f>I26</f>
        <v>7500000</v>
      </c>
      <c r="J27" s="885">
        <f>Тодотгол_2023_хавсралт_2!F27-H27</f>
        <v>0</v>
      </c>
      <c r="K27" s="885">
        <f>Тодотгол_2023_хавсралт_2!G27-I27</f>
        <v>10500000</v>
      </c>
      <c r="L27" s="767"/>
      <c r="M27" s="766"/>
      <c r="O27" s="638"/>
      <c r="P27" s="638"/>
    </row>
    <row r="28" spans="1:16" ht="13.5" thickBot="1" x14ac:dyDescent="0.25">
      <c r="A28" s="600">
        <v>18</v>
      </c>
      <c r="B28" s="1149" t="s">
        <v>102</v>
      </c>
      <c r="C28" s="1150"/>
      <c r="D28" s="700"/>
      <c r="E28" s="708"/>
      <c r="F28" s="725"/>
      <c r="G28" s="726"/>
      <c r="H28" s="730"/>
      <c r="I28" s="726"/>
      <c r="J28" s="885">
        <f>Тодотгол_2023_хавсралт_2!F28-H28</f>
        <v>0</v>
      </c>
      <c r="K28" s="885">
        <f>Тодотгол_2023_хавсралт_2!G28-I28</f>
        <v>544204328.12</v>
      </c>
      <c r="L28" s="767"/>
      <c r="M28" s="766"/>
      <c r="O28" s="638"/>
      <c r="P28" s="638"/>
    </row>
    <row r="29" spans="1:16" ht="13.5" thickBot="1" x14ac:dyDescent="0.25">
      <c r="A29" s="693">
        <v>19</v>
      </c>
      <c r="B29" s="1151" t="s">
        <v>1</v>
      </c>
      <c r="C29" s="1152"/>
      <c r="D29" s="701" t="s">
        <v>2</v>
      </c>
      <c r="E29" s="709"/>
      <c r="F29" s="657"/>
      <c r="G29" s="699">
        <f>G24+G27</f>
        <v>43608396</v>
      </c>
      <c r="H29" s="731"/>
      <c r="I29" s="699">
        <f>I27+I24</f>
        <v>219124282</v>
      </c>
      <c r="J29" s="885">
        <f>Тодотгол_2023_хавсралт_2!F29-H29</f>
        <v>0</v>
      </c>
      <c r="K29" s="885">
        <f>Тодотгол_2023_хавсралт_2!G29-I29</f>
        <v>-164703849.18799999</v>
      </c>
      <c r="L29" s="767"/>
      <c r="M29" s="766"/>
      <c r="O29" s="638"/>
      <c r="P29" s="638"/>
    </row>
    <row r="30" spans="1:16" ht="13.5" thickBot="1" x14ac:dyDescent="0.25">
      <c r="A30" s="600">
        <v>20</v>
      </c>
      <c r="B30" s="1135" t="s">
        <v>103</v>
      </c>
      <c r="C30" s="1136"/>
      <c r="D30" s="685" t="s">
        <v>2</v>
      </c>
      <c r="E30" s="710"/>
      <c r="F30" s="657"/>
      <c r="G30" s="699">
        <f>G29*0.1</f>
        <v>4360839.6000000006</v>
      </c>
      <c r="H30" s="732"/>
      <c r="I30" s="699">
        <f>I29*0.1</f>
        <v>21912428.200000003</v>
      </c>
      <c r="J30" s="885">
        <f>Тодотгол_2023_хавсралт_2!F30-H30</f>
        <v>0</v>
      </c>
      <c r="K30" s="885">
        <f>Тодотгол_2023_хавсралт_2!G30-I30</f>
        <v>-19445934.200000003</v>
      </c>
      <c r="L30" s="767"/>
      <c r="M30" s="766"/>
      <c r="O30" s="638"/>
      <c r="P30" s="638"/>
    </row>
    <row r="31" spans="1:16" ht="13.5" thickBot="1" x14ac:dyDescent="0.25">
      <c r="A31" s="587">
        <v>21</v>
      </c>
      <c r="B31" s="1137" t="s">
        <v>104</v>
      </c>
      <c r="C31" s="1138"/>
      <c r="D31" s="688"/>
      <c r="E31" s="711"/>
      <c r="F31" s="658"/>
      <c r="G31" s="699">
        <f>SUM(G29:G30)</f>
        <v>47969235.600000001</v>
      </c>
      <c r="H31" s="733"/>
      <c r="I31" s="699">
        <f>SUM(I29:I30)</f>
        <v>241036710.19999999</v>
      </c>
      <c r="J31" s="885">
        <f>Тодотгол_2023_хавсралт_2!F31-H31</f>
        <v>0</v>
      </c>
      <c r="K31" s="885">
        <f>Тодотгол_2023_хавсралт_2!G31-I31</f>
        <v>360054544.73200005</v>
      </c>
      <c r="L31" s="767"/>
      <c r="M31" s="766"/>
      <c r="O31" s="638"/>
      <c r="P31" s="638"/>
    </row>
    <row r="32" spans="1:16" ht="15.75" x14ac:dyDescent="0.25">
      <c r="A32" s="698"/>
      <c r="B32" s="601"/>
      <c r="C32" s="602" t="s">
        <v>107</v>
      </c>
      <c r="D32" s="603"/>
      <c r="E32" s="603"/>
      <c r="F32" s="604" t="s">
        <v>108</v>
      </c>
      <c r="G32" s="605"/>
      <c r="H32" s="606"/>
      <c r="I32" s="607">
        <f>I31-G31-'Гүйцэтгэл_2023_4 сар'!I31</f>
        <v>0</v>
      </c>
      <c r="J32" s="885"/>
      <c r="K32" s="885">
        <f>K31+I31-Тодотгол_2023_хавсралт_2!G31</f>
        <v>0</v>
      </c>
      <c r="L32" s="894"/>
      <c r="O32" s="638"/>
      <c r="P32" s="638"/>
    </row>
    <row r="33" spans="1:16" ht="15.75" x14ac:dyDescent="0.25">
      <c r="A33" s="608"/>
      <c r="B33" s="609"/>
      <c r="C33" s="602"/>
      <c r="D33" s="603"/>
      <c r="E33" s="603"/>
      <c r="F33" s="604"/>
      <c r="G33" s="605"/>
      <c r="H33" s="609"/>
      <c r="I33" s="610"/>
      <c r="J33" s="885"/>
      <c r="K33" s="886"/>
      <c r="L33" s="767"/>
      <c r="O33" s="638"/>
      <c r="P33" s="638"/>
    </row>
    <row r="34" spans="1:16" ht="15" x14ac:dyDescent="0.25">
      <c r="A34" s="608"/>
      <c r="B34" s="609"/>
      <c r="C34" s="611" t="s">
        <v>109</v>
      </c>
      <c r="D34" s="612"/>
      <c r="E34" s="612"/>
      <c r="F34" s="604" t="s">
        <v>113</v>
      </c>
      <c r="G34" s="605"/>
      <c r="H34" s="609"/>
      <c r="I34" s="610"/>
      <c r="J34" s="885"/>
      <c r="K34" s="886"/>
      <c r="L34" s="767"/>
      <c r="O34" s="638"/>
    </row>
    <row r="35" spans="1:16" ht="15" x14ac:dyDescent="0.25">
      <c r="A35" s="613"/>
      <c r="B35" s="614"/>
      <c r="C35" s="611"/>
      <c r="D35" s="612"/>
      <c r="E35" s="612"/>
      <c r="F35" s="604"/>
      <c r="G35" s="605"/>
      <c r="H35" s="609"/>
      <c r="I35" s="609"/>
      <c r="J35" s="885"/>
      <c r="K35" s="887"/>
      <c r="L35" s="767"/>
      <c r="O35" s="638"/>
    </row>
    <row r="36" spans="1:16" ht="15" x14ac:dyDescent="0.25">
      <c r="A36" s="613"/>
      <c r="B36" s="614"/>
      <c r="C36" s="611" t="s">
        <v>110</v>
      </c>
      <c r="D36" s="612"/>
      <c r="E36" s="612"/>
      <c r="F36" s="604" t="s">
        <v>111</v>
      </c>
      <c r="G36" s="615"/>
      <c r="H36" s="609"/>
      <c r="I36" s="609"/>
      <c r="J36" s="885"/>
      <c r="K36" s="887"/>
      <c r="N36" s="638"/>
    </row>
    <row r="37" spans="1:16" ht="15" x14ac:dyDescent="0.25">
      <c r="A37" s="608"/>
      <c r="B37" s="613"/>
      <c r="C37" s="611"/>
      <c r="D37" s="612"/>
      <c r="E37" s="612"/>
      <c r="F37" s="604"/>
      <c r="G37" s="615"/>
      <c r="H37" s="609"/>
      <c r="I37" s="609"/>
      <c r="J37" s="885"/>
      <c r="K37" s="886"/>
      <c r="L37" s="767"/>
      <c r="O37" s="638"/>
    </row>
    <row r="38" spans="1:16" ht="15" x14ac:dyDescent="0.25">
      <c r="A38" s="604" t="s">
        <v>119</v>
      </c>
      <c r="B38" s="614"/>
      <c r="C38" s="763" t="s">
        <v>112</v>
      </c>
      <c r="D38" s="615"/>
      <c r="E38" s="615"/>
      <c r="F38" s="604" t="s">
        <v>143</v>
      </c>
      <c r="G38" s="615"/>
      <c r="H38" s="609"/>
      <c r="I38" s="609"/>
      <c r="J38" s="885"/>
      <c r="K38" s="886"/>
      <c r="L38" s="767"/>
      <c r="O38" s="638"/>
    </row>
    <row r="39" spans="1:16" ht="15" x14ac:dyDescent="0.25">
      <c r="A39" s="604" t="s">
        <v>120</v>
      </c>
      <c r="B39" s="613"/>
      <c r="D39" s="615"/>
      <c r="E39" s="615"/>
      <c r="F39" s="583"/>
      <c r="G39" s="615"/>
      <c r="H39" s="609"/>
      <c r="I39" s="609"/>
      <c r="J39" s="885"/>
      <c r="K39" s="886"/>
      <c r="L39" s="767"/>
      <c r="O39" s="638"/>
    </row>
    <row r="40" spans="1:16" ht="15" x14ac:dyDescent="0.25">
      <c r="A40" s="604"/>
      <c r="B40" s="762"/>
      <c r="C40" s="763" t="s">
        <v>114</v>
      </c>
      <c r="D40" s="615"/>
      <c r="E40" s="615"/>
      <c r="F40" s="617" t="s">
        <v>164</v>
      </c>
      <c r="G40" s="604"/>
      <c r="H40" s="604"/>
      <c r="I40" s="604"/>
      <c r="J40" s="885"/>
      <c r="K40" s="886"/>
      <c r="L40" s="767"/>
      <c r="O40" s="638"/>
    </row>
    <row r="41" spans="1:16" ht="14.25" x14ac:dyDescent="0.2">
      <c r="A41" s="608"/>
      <c r="B41" s="609"/>
      <c r="D41" s="583"/>
      <c r="F41" s="583"/>
      <c r="H41" s="609"/>
      <c r="I41" s="609"/>
      <c r="K41" s="888"/>
    </row>
    <row r="42" spans="1:16" ht="15" x14ac:dyDescent="0.25">
      <c r="A42" s="613"/>
      <c r="B42" s="608"/>
      <c r="C42" s="763" t="s">
        <v>115</v>
      </c>
      <c r="D42" s="615"/>
      <c r="E42" s="615"/>
      <c r="F42" s="604" t="s">
        <v>116</v>
      </c>
      <c r="G42" s="604"/>
      <c r="H42" s="609"/>
      <c r="I42" s="609"/>
    </row>
    <row r="43" spans="1:16" ht="14.25" x14ac:dyDescent="0.2">
      <c r="A43" s="615"/>
      <c r="B43" s="615"/>
      <c r="C43" s="615"/>
      <c r="D43" s="615"/>
      <c r="E43" s="615"/>
      <c r="F43" s="615"/>
      <c r="G43" s="615"/>
      <c r="H43" s="615"/>
    </row>
    <row r="44" spans="1:16" x14ac:dyDescent="0.2">
      <c r="A44" s="666"/>
      <c r="B44" s="667"/>
      <c r="C44" s="668"/>
      <c r="D44" s="669"/>
      <c r="E44" s="618"/>
      <c r="F44" s="619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70"/>
      <c r="C46" s="670"/>
      <c r="D46" s="667"/>
      <c r="E46" s="668"/>
      <c r="F46" s="669"/>
      <c r="G46" s="618"/>
      <c r="H46" s="619"/>
      <c r="I46" s="608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20"/>
      <c r="J48" s="889"/>
    </row>
    <row r="49" spans="1:9" x14ac:dyDescent="0.2">
      <c r="A49" s="666"/>
      <c r="B49" s="670"/>
      <c r="C49" s="670"/>
      <c r="D49" s="667"/>
      <c r="E49" s="668"/>
      <c r="F49" s="669"/>
      <c r="G49" s="618"/>
      <c r="H49" s="619"/>
      <c r="I49" s="620"/>
    </row>
    <row r="50" spans="1:9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9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9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9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9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9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9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9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9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9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9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9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9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9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9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21"/>
      <c r="B74" s="622"/>
      <c r="C74" s="622"/>
      <c r="D74" s="623"/>
      <c r="E74" s="620"/>
      <c r="F74" s="624"/>
      <c r="G74" s="618"/>
      <c r="H74" s="619"/>
      <c r="I74" s="620"/>
    </row>
    <row r="75" spans="1:9" x14ac:dyDescent="0.2">
      <c r="A75" s="621"/>
      <c r="B75" s="625"/>
      <c r="C75" s="625"/>
      <c r="D75" s="623"/>
      <c r="E75" s="620"/>
      <c r="F75" s="624"/>
      <c r="G75" s="618"/>
      <c r="H75" s="619"/>
      <c r="I75" s="620"/>
    </row>
    <row r="76" spans="1:9" x14ac:dyDescent="0.2">
      <c r="A76" s="621"/>
      <c r="B76" s="626"/>
      <c r="C76" s="626"/>
      <c r="D76" s="623"/>
      <c r="E76" s="672"/>
      <c r="F76" s="673"/>
      <c r="G76" s="674"/>
      <c r="H76" s="674"/>
      <c r="I76" s="674"/>
    </row>
    <row r="77" spans="1:9" x14ac:dyDescent="0.2">
      <c r="A77" s="621"/>
      <c r="B77" s="627"/>
      <c r="C77" s="627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8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D80" s="629"/>
      <c r="E80" s="627"/>
      <c r="F80" s="630"/>
      <c r="G80" s="631"/>
      <c r="H80" s="630"/>
      <c r="I80" s="632"/>
    </row>
    <row r="81" spans="1:9" x14ac:dyDescent="0.2">
      <c r="A81" s="621"/>
      <c r="D81" s="629"/>
      <c r="E81" s="631"/>
      <c r="F81" s="630"/>
      <c r="G81" s="631"/>
      <c r="H81" s="630"/>
      <c r="I81" s="632"/>
    </row>
    <row r="82" spans="1:9" x14ac:dyDescent="0.2">
      <c r="A82" s="621"/>
      <c r="B82" s="627"/>
      <c r="C82" s="627"/>
      <c r="E82" s="633"/>
      <c r="F82" s="634"/>
      <c r="G82" s="633"/>
      <c r="H82" s="634"/>
      <c r="I82" s="620"/>
    </row>
    <row r="83" spans="1:9" x14ac:dyDescent="0.2">
      <c r="A83" s="621"/>
      <c r="E83" s="635"/>
      <c r="F83" s="636"/>
      <c r="G83" s="633"/>
      <c r="H83" s="636"/>
      <c r="I83" s="620"/>
    </row>
    <row r="84" spans="1:9" x14ac:dyDescent="0.2">
      <c r="A84" s="621"/>
      <c r="B84" s="627"/>
      <c r="C84" s="627"/>
      <c r="D84" s="629"/>
      <c r="E84" s="631"/>
      <c r="F84" s="630"/>
      <c r="G84" s="631"/>
      <c r="H84" s="630"/>
      <c r="I84" s="632"/>
    </row>
    <row r="85" spans="1:9" x14ac:dyDescent="0.2">
      <c r="F85" s="675"/>
      <c r="G85" s="676"/>
    </row>
    <row r="86" spans="1:9" x14ac:dyDescent="0.2">
      <c r="F86" s="675"/>
      <c r="G86" s="676"/>
    </row>
    <row r="87" spans="1:9" x14ac:dyDescent="0.2">
      <c r="D87" s="629"/>
      <c r="E87" s="627"/>
      <c r="F87" s="637"/>
      <c r="G87" s="627"/>
      <c r="H87" s="627"/>
      <c r="I87" s="627"/>
    </row>
    <row r="88" spans="1:9" x14ac:dyDescent="0.2">
      <c r="D88" s="629"/>
      <c r="E88" s="627"/>
      <c r="F88" s="677"/>
      <c r="G88" s="627"/>
      <c r="H88" s="627"/>
      <c r="I88" s="627"/>
    </row>
    <row r="89" spans="1:9" x14ac:dyDescent="0.2">
      <c r="D89" s="629"/>
      <c r="E89" s="627"/>
      <c r="F89" s="63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</sheetData>
  <sheetProtection algorithmName="SHA-512" hashValue="8v+1MhnHRXbJSmqbP6f7WQsOovZ+Hz3hc6DJCztD0YEBT/CikHC4SCn7hAbfOl+fsv5OCshqIuK1CRpU+/1Lfw==" saltValue="wXB4MiJYHPId5tH99m55EQ==" spinCount="100000" sheet="1" objects="1" scenarios="1"/>
  <mergeCells count="34"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19:C19"/>
    <mergeCell ref="H8:I8"/>
    <mergeCell ref="J8:K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G1:I3"/>
    <mergeCell ref="C4:I4"/>
    <mergeCell ref="C5:I5"/>
    <mergeCell ref="B6:I6"/>
    <mergeCell ref="G7:I7"/>
    <mergeCell ref="A8:A9"/>
    <mergeCell ref="B8:C9"/>
    <mergeCell ref="D8:D9"/>
    <mergeCell ref="E8:E9"/>
    <mergeCell ref="F8:G8"/>
  </mergeCells>
  <printOptions horizontalCentered="1"/>
  <pageMargins left="0.78700000000000003" right="0.78700000000000003" top="1.181" bottom="0.09" header="0.314" footer="0.314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1"/>
  <sheetViews>
    <sheetView topLeftCell="A7" zoomScale="115" zoomScaleNormal="115" workbookViewId="0">
      <selection activeCell="N29" sqref="N29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7.125" style="583" customWidth="1"/>
    <col min="10" max="10" width="10.125" style="880" customWidth="1"/>
    <col min="11" max="11" width="13.5" style="880" customWidth="1"/>
    <col min="12" max="12" width="14" style="880" customWidth="1"/>
    <col min="13" max="13" width="9" style="764" customWidth="1"/>
    <col min="14" max="14" width="9" style="583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005" t="s">
        <v>163</v>
      </c>
      <c r="H1" s="1005"/>
      <c r="I1" s="1005"/>
      <c r="M1" s="765"/>
      <c r="N1" s="734"/>
    </row>
    <row r="2" spans="1:22" ht="14.25" x14ac:dyDescent="0.2">
      <c r="A2" s="605"/>
      <c r="B2" s="605"/>
      <c r="C2" s="605"/>
      <c r="D2" s="605"/>
      <c r="E2" s="605"/>
      <c r="F2" s="605"/>
      <c r="G2" s="1005"/>
      <c r="H2" s="1005"/>
      <c r="I2" s="1005"/>
      <c r="L2" s="898"/>
      <c r="M2" s="765"/>
      <c r="N2" s="734"/>
    </row>
    <row r="3" spans="1:22" ht="14.25" x14ac:dyDescent="0.2">
      <c r="A3" s="605"/>
      <c r="B3" s="605"/>
      <c r="C3" s="605"/>
      <c r="D3" s="605"/>
      <c r="E3" s="605"/>
      <c r="F3" s="605"/>
      <c r="G3" s="1005"/>
      <c r="H3" s="1005"/>
      <c r="I3" s="1005"/>
      <c r="L3" s="898"/>
      <c r="M3" s="765"/>
      <c r="N3" s="734"/>
    </row>
    <row r="4" spans="1:22" ht="15" x14ac:dyDescent="0.25">
      <c r="A4" s="639"/>
      <c r="B4" s="639"/>
      <c r="C4" s="1111" t="s">
        <v>117</v>
      </c>
      <c r="D4" s="1111"/>
      <c r="E4" s="1111"/>
      <c r="F4" s="1111"/>
      <c r="G4" s="1111"/>
      <c r="H4" s="1111"/>
      <c r="I4" s="1111"/>
    </row>
    <row r="5" spans="1:22" ht="15" x14ac:dyDescent="0.25">
      <c r="A5" s="639"/>
      <c r="B5" s="639"/>
      <c r="C5" s="1111" t="s">
        <v>100</v>
      </c>
      <c r="D5" s="1111"/>
      <c r="E5" s="1111"/>
      <c r="F5" s="1111"/>
      <c r="G5" s="1111"/>
      <c r="H5" s="1111"/>
      <c r="I5" s="1111"/>
    </row>
    <row r="6" spans="1:22" ht="15" x14ac:dyDescent="0.25">
      <c r="A6" s="617"/>
      <c r="B6" s="1112" t="s">
        <v>188</v>
      </c>
      <c r="C6" s="1112"/>
      <c r="D6" s="1112"/>
      <c r="E6" s="1112"/>
      <c r="F6" s="1112"/>
      <c r="G6" s="1112"/>
      <c r="H6" s="1112"/>
      <c r="I6" s="1112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132" t="s">
        <v>118</v>
      </c>
      <c r="H7" s="1132"/>
      <c r="I7" s="1132"/>
      <c r="J7" s="881"/>
      <c r="K7" s="882"/>
    </row>
    <row r="8" spans="1:22" x14ac:dyDescent="0.2">
      <c r="A8" s="1113" t="s">
        <v>0</v>
      </c>
      <c r="B8" s="1115" t="s">
        <v>8</v>
      </c>
      <c r="C8" s="1116"/>
      <c r="D8" s="1119" t="s">
        <v>20</v>
      </c>
      <c r="E8" s="1121" t="s">
        <v>21</v>
      </c>
      <c r="F8" s="1123" t="s">
        <v>189</v>
      </c>
      <c r="G8" s="1124"/>
      <c r="H8" s="1133" t="s">
        <v>101</v>
      </c>
      <c r="I8" s="1134"/>
      <c r="J8" s="1170"/>
      <c r="K8" s="1170"/>
    </row>
    <row r="9" spans="1:22" ht="13.5" thickBot="1" x14ac:dyDescent="0.25">
      <c r="A9" s="1114"/>
      <c r="B9" s="1117"/>
      <c r="C9" s="1118"/>
      <c r="D9" s="1120"/>
      <c r="E9" s="1122"/>
      <c r="F9" s="642" t="s">
        <v>26</v>
      </c>
      <c r="G9" s="643" t="s">
        <v>6</v>
      </c>
      <c r="H9" s="642" t="s">
        <v>26</v>
      </c>
      <c r="I9" s="643" t="s">
        <v>6</v>
      </c>
      <c r="J9" s="883"/>
      <c r="K9" s="883"/>
    </row>
    <row r="10" spans="1:22" ht="13.5" thickBot="1" x14ac:dyDescent="0.25">
      <c r="A10" s="737" t="s">
        <v>27</v>
      </c>
      <c r="B10" s="1126" t="s">
        <v>28</v>
      </c>
      <c r="C10" s="1127"/>
      <c r="D10" s="891">
        <v>1</v>
      </c>
      <c r="E10" s="739">
        <v>2</v>
      </c>
      <c r="F10" s="740">
        <v>3</v>
      </c>
      <c r="G10" s="741">
        <v>4</v>
      </c>
      <c r="H10" s="740">
        <v>5</v>
      </c>
      <c r="I10" s="741">
        <v>6</v>
      </c>
      <c r="J10" s="884"/>
      <c r="K10" s="884"/>
    </row>
    <row r="11" spans="1:22" ht="13.5" thickBot="1" x14ac:dyDescent="0.25">
      <c r="A11" s="585">
        <v>1</v>
      </c>
      <c r="B11" s="1128" t="s">
        <v>29</v>
      </c>
      <c r="C11" s="1129"/>
      <c r="D11" s="680" t="s">
        <v>30</v>
      </c>
      <c r="E11" s="702">
        <v>94250</v>
      </c>
      <c r="F11" s="660"/>
      <c r="G11" s="712">
        <f>$E11*F11</f>
        <v>0</v>
      </c>
      <c r="H11" s="598">
        <f>F11+'Гүйцэтгэл_2023_5 сар'!H11</f>
        <v>122.80000000000001</v>
      </c>
      <c r="I11" s="712">
        <f>H11*$E$11</f>
        <v>11573900.000000002</v>
      </c>
      <c r="J11" s="885">
        <f>Тодотгол_2023_хавсралт_2!F11-H11</f>
        <v>0</v>
      </c>
      <c r="K11" s="885">
        <f>Тодотгол_2023_хавсралт_2!G11-I11</f>
        <v>0</v>
      </c>
      <c r="L11" s="899"/>
      <c r="M11" s="766"/>
      <c r="N11" s="638"/>
      <c r="O11" s="638"/>
      <c r="P11" s="638"/>
    </row>
    <row r="12" spans="1:22" ht="13.5" thickBot="1" x14ac:dyDescent="0.25">
      <c r="A12" s="587">
        <v>2</v>
      </c>
      <c r="B12" s="1130" t="s">
        <v>35</v>
      </c>
      <c r="C12" s="1131"/>
      <c r="D12" s="681"/>
      <c r="E12" s="588"/>
      <c r="F12" s="589"/>
      <c r="G12" s="653">
        <f>G11</f>
        <v>0</v>
      </c>
      <c r="H12" s="657"/>
      <c r="I12" s="653">
        <f>SUM(I11:I11)</f>
        <v>11573900.000000002</v>
      </c>
      <c r="J12" s="885">
        <f>Тодотгол_2023_хавсралт_2!F12-H12</f>
        <v>0</v>
      </c>
      <c r="K12" s="885">
        <f>Тодотгол_2023_хавсралт_2!G12-I12</f>
        <v>0</v>
      </c>
      <c r="L12" s="899"/>
      <c r="M12" s="766"/>
      <c r="N12" s="638"/>
      <c r="O12" s="638"/>
      <c r="P12" s="638"/>
    </row>
    <row r="13" spans="1:22" ht="15.75" thickBot="1" x14ac:dyDescent="0.25">
      <c r="A13" s="587">
        <v>3</v>
      </c>
      <c r="B13" s="1171" t="s">
        <v>41</v>
      </c>
      <c r="C13" s="1172"/>
      <c r="D13" s="685" t="s">
        <v>40</v>
      </c>
      <c r="E13" s="647">
        <v>55000</v>
      </c>
      <c r="F13" s="897">
        <v>720.63635999999997</v>
      </c>
      <c r="G13" s="690">
        <f>$E13*F13</f>
        <v>39634999.799999997</v>
      </c>
      <c r="H13" s="657">
        <f>F13+'Гүйцэтгэл_2023_4 сар'!H13</f>
        <v>720.63635999999997</v>
      </c>
      <c r="I13" s="690">
        <f>H13*$E13</f>
        <v>39634999.799999997</v>
      </c>
      <c r="J13" s="885">
        <f>Тодотгол_2023_хавсралт_2!F13-H13</f>
        <v>0</v>
      </c>
      <c r="K13" s="885">
        <f>Тодотгол_2023_хавсралт_2!G13-I13</f>
        <v>0</v>
      </c>
      <c r="L13" s="899"/>
      <c r="M13" s="766"/>
      <c r="N13" s="638"/>
      <c r="O13" s="638"/>
      <c r="P13" s="638"/>
    </row>
    <row r="14" spans="1:22" ht="13.5" thickBot="1" x14ac:dyDescent="0.25">
      <c r="A14" s="895">
        <v>4</v>
      </c>
      <c r="B14" s="1173" t="s">
        <v>42</v>
      </c>
      <c r="C14" s="1174"/>
      <c r="D14" s="896"/>
      <c r="E14" s="703"/>
      <c r="F14" s="713"/>
      <c r="G14" s="714">
        <f>SUM(G13:G13)</f>
        <v>39634999.799999997</v>
      </c>
      <c r="H14" s="660"/>
      <c r="I14" s="714">
        <f>SUM(I13:I13)</f>
        <v>39634999.799999997</v>
      </c>
      <c r="J14" s="885">
        <f>Тодотгол_2023_хавсралт_2!F14-H14</f>
        <v>0</v>
      </c>
      <c r="K14" s="885">
        <f>Тодотгол_2023_хавсралт_2!G14-I14</f>
        <v>0.20000000298023224</v>
      </c>
      <c r="L14" s="899"/>
      <c r="M14" s="766"/>
      <c r="N14" s="638"/>
      <c r="O14" s="638"/>
      <c r="P14" s="638"/>
    </row>
    <row r="15" spans="1:22" s="593" customFormat="1" ht="13.5" thickBot="1" x14ac:dyDescent="0.25">
      <c r="A15" s="587">
        <v>5</v>
      </c>
      <c r="B15" s="1163" t="s">
        <v>49</v>
      </c>
      <c r="C15" s="1163"/>
      <c r="D15" s="735"/>
      <c r="E15" s="704"/>
      <c r="F15" s="715"/>
      <c r="G15" s="689">
        <f>SUM(G14)</f>
        <v>39634999.799999997</v>
      </c>
      <c r="H15" s="657"/>
      <c r="I15" s="689">
        <f>SUM(I14)</f>
        <v>39634999.799999997</v>
      </c>
      <c r="J15" s="885">
        <f>Тодотгол_2023_хавсралт_2!F15-H15</f>
        <v>0</v>
      </c>
      <c r="K15" s="885">
        <f>Тодотгол_2023_хавсралт_2!G15-I15</f>
        <v>0.20000000298023224</v>
      </c>
      <c r="L15" s="899"/>
      <c r="M15" s="766"/>
      <c r="N15" s="638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57" t="s">
        <v>52</v>
      </c>
      <c r="C16" s="1158"/>
      <c r="D16" s="586" t="s">
        <v>53</v>
      </c>
      <c r="E16" s="705">
        <f>92811*0.1+92811</f>
        <v>102092.1</v>
      </c>
      <c r="F16" s="716">
        <v>10</v>
      </c>
      <c r="G16" s="717">
        <f t="shared" ref="G16:G22" si="0">$E16*F16</f>
        <v>1020921</v>
      </c>
      <c r="H16" s="598">
        <f>F16+'Гүйцэтгэл_2023_5 сар'!H16</f>
        <v>60</v>
      </c>
      <c r="I16" s="717">
        <f t="shared" ref="I16:I22" si="1">H16*$E16</f>
        <v>6125526</v>
      </c>
      <c r="J16" s="885">
        <f>Тодотгол_2023_хавсралт_2!F16-H16</f>
        <v>30</v>
      </c>
      <c r="K16" s="885">
        <f>Тодотгол_2023_хавсралт_2!G16-I16</f>
        <v>3062763</v>
      </c>
      <c r="L16" s="899"/>
      <c r="M16" s="766"/>
      <c r="N16" s="638"/>
      <c r="O16" s="638"/>
      <c r="P16" s="638"/>
    </row>
    <row r="17" spans="1:16" ht="27.75" customHeight="1" x14ac:dyDescent="0.2">
      <c r="A17" s="594">
        <v>7</v>
      </c>
      <c r="B17" s="1159" t="s">
        <v>54</v>
      </c>
      <c r="C17" s="1160"/>
      <c r="D17" s="595" t="s">
        <v>53</v>
      </c>
      <c r="E17" s="650">
        <f>92846*0.1+92846</f>
        <v>102130.6</v>
      </c>
      <c r="F17" s="720">
        <v>45</v>
      </c>
      <c r="G17" s="719">
        <f t="shared" si="0"/>
        <v>4595877</v>
      </c>
      <c r="H17" s="598">
        <f>F17+'Гүйцэтгэл_2023_5 сар'!H17</f>
        <v>270</v>
      </c>
      <c r="I17" s="719">
        <f t="shared" si="1"/>
        <v>27575262</v>
      </c>
      <c r="J17" s="885">
        <f>Тодотгол_2023_хавсралт_2!F17-H17</f>
        <v>90</v>
      </c>
      <c r="K17" s="885">
        <f>Тодотгол_2023_хавсралт_2!G17-I17</f>
        <v>9191754</v>
      </c>
      <c r="L17" s="899"/>
      <c r="M17" s="766"/>
      <c r="N17" s="638"/>
      <c r="O17" s="638"/>
      <c r="P17" s="638"/>
    </row>
    <row r="18" spans="1:16" ht="15" x14ac:dyDescent="0.25">
      <c r="A18" s="594">
        <v>8</v>
      </c>
      <c r="B18" s="1159" t="s">
        <v>55</v>
      </c>
      <c r="C18" s="1160"/>
      <c r="D18" s="595" t="s">
        <v>33</v>
      </c>
      <c r="E18" s="650">
        <v>4000000</v>
      </c>
      <c r="F18" s="718"/>
      <c r="G18" s="719">
        <f t="shared" si="0"/>
        <v>0</v>
      </c>
      <c r="H18" s="598">
        <f>F18+'Гүйцэтгэл_2023_5 сар'!H18</f>
        <v>6.875</v>
      </c>
      <c r="I18" s="719">
        <f t="shared" si="1"/>
        <v>27500000</v>
      </c>
      <c r="J18" s="885">
        <f>Тодотгол_2023_хавсралт_2!F18-H18</f>
        <v>4.125</v>
      </c>
      <c r="K18" s="885">
        <f>Тодотгол_2023_хавсралт_2!G18-I18</f>
        <v>16500000</v>
      </c>
      <c r="L18" s="899"/>
      <c r="M18" s="766"/>
      <c r="N18" s="638"/>
      <c r="O18" s="638"/>
      <c r="P18" s="638"/>
    </row>
    <row r="19" spans="1:16" ht="28.5" customHeight="1" x14ac:dyDescent="0.2">
      <c r="A19" s="594">
        <v>9</v>
      </c>
      <c r="B19" s="1161" t="s">
        <v>56</v>
      </c>
      <c r="C19" s="1162"/>
      <c r="D19" s="595" t="s">
        <v>33</v>
      </c>
      <c r="E19" s="650">
        <v>4000000</v>
      </c>
      <c r="F19" s="720">
        <v>5.125</v>
      </c>
      <c r="G19" s="719">
        <f t="shared" si="0"/>
        <v>20500000</v>
      </c>
      <c r="H19" s="598">
        <f>F19+'Гүйцэтгэл_2023_5 сар'!H19</f>
        <v>30.75</v>
      </c>
      <c r="I19" s="719">
        <f t="shared" si="1"/>
        <v>123000000</v>
      </c>
      <c r="J19" s="885">
        <f>Тодотгол_2023_хавсралт_2!F19-H19</f>
        <v>10.25</v>
      </c>
      <c r="K19" s="885">
        <f>Тодотгол_2023_хавсралт_2!G19-I19</f>
        <v>41000000</v>
      </c>
      <c r="L19" s="899"/>
      <c r="M19" s="766"/>
      <c r="N19" s="638"/>
      <c r="O19" s="638"/>
      <c r="P19" s="638"/>
    </row>
    <row r="20" spans="1:16" ht="24" customHeight="1" x14ac:dyDescent="0.2">
      <c r="A20" s="594">
        <v>10</v>
      </c>
      <c r="B20" s="1159" t="s">
        <v>57</v>
      </c>
      <c r="C20" s="1160"/>
      <c r="D20" s="595" t="s">
        <v>53</v>
      </c>
      <c r="E20" s="650">
        <f>92846</f>
        <v>92846</v>
      </c>
      <c r="F20" s="720">
        <v>113</v>
      </c>
      <c r="G20" s="719">
        <f t="shared" si="0"/>
        <v>10491598</v>
      </c>
      <c r="H20" s="598">
        <f>F20+'Гүйцэтгэл_2023_5 сар'!H20</f>
        <v>565</v>
      </c>
      <c r="I20" s="719">
        <f t="shared" si="1"/>
        <v>52457990</v>
      </c>
      <c r="J20" s="885">
        <f>Тодотгол_2023_хавсралт_2!F20-H20</f>
        <v>452</v>
      </c>
      <c r="K20" s="885">
        <f>Тодотгол_2023_хавсралт_2!G20-I20</f>
        <v>41966392</v>
      </c>
      <c r="L20" s="899"/>
      <c r="M20" s="766"/>
      <c r="N20" s="638"/>
      <c r="O20" s="638"/>
      <c r="P20" s="638"/>
    </row>
    <row r="21" spans="1:16" x14ac:dyDescent="0.2">
      <c r="A21" s="594">
        <v>11</v>
      </c>
      <c r="B21" s="1161" t="s">
        <v>16</v>
      </c>
      <c r="C21" s="1162"/>
      <c r="D21" s="595" t="s">
        <v>58</v>
      </c>
      <c r="E21" s="650">
        <f>93160.75*0.1+93160.75</f>
        <v>102476.825</v>
      </c>
      <c r="F21" s="599"/>
      <c r="G21" s="719">
        <f t="shared" si="0"/>
        <v>0</v>
      </c>
      <c r="H21" s="598">
        <f>F21+'Гүйцэтгэл_2023_4 сар'!H21</f>
        <v>0</v>
      </c>
      <c r="I21" s="719">
        <f t="shared" si="1"/>
        <v>0</v>
      </c>
      <c r="J21" s="885">
        <f>Тодотгол_2023_хавсралт_2!F21-H21</f>
        <v>1017.6</v>
      </c>
      <c r="K21" s="885">
        <f>Тодотгол_2023_хавсралт_2!G21-I21</f>
        <v>104280417.12</v>
      </c>
      <c r="L21" s="899"/>
      <c r="M21" s="766"/>
      <c r="N21" s="638"/>
      <c r="O21" s="638"/>
      <c r="P21" s="638"/>
    </row>
    <row r="22" spans="1:16" ht="13.5" thickBot="1" x14ac:dyDescent="0.25">
      <c r="A22" s="591">
        <v>12</v>
      </c>
      <c r="B22" s="1153" t="s">
        <v>59</v>
      </c>
      <c r="C22" s="1154"/>
      <c r="D22" s="736" t="s">
        <v>60</v>
      </c>
      <c r="E22" s="648">
        <f>123810*0.1+123810</f>
        <v>136191</v>
      </c>
      <c r="F22" s="654"/>
      <c r="G22" s="721">
        <f t="shared" si="0"/>
        <v>0</v>
      </c>
      <c r="H22" s="598">
        <f>F22+'Гүйцэтгэл_2023_4 сар'!H22</f>
        <v>0</v>
      </c>
      <c r="I22" s="721">
        <f t="shared" si="1"/>
        <v>0</v>
      </c>
      <c r="J22" s="885">
        <f>Тодотгол_2023_хавсралт_2!F22-H22</f>
        <v>164</v>
      </c>
      <c r="K22" s="885">
        <f>Тодотгол_2023_хавсралт_2!G22-I22</f>
        <v>22335324</v>
      </c>
      <c r="L22" s="899"/>
      <c r="M22" s="766"/>
      <c r="N22" s="638"/>
      <c r="O22" s="638"/>
      <c r="P22" s="638"/>
    </row>
    <row r="23" spans="1:16" ht="13.5" thickBot="1" x14ac:dyDescent="0.25">
      <c r="A23" s="585">
        <v>13</v>
      </c>
      <c r="B23" s="1155" t="s">
        <v>61</v>
      </c>
      <c r="C23" s="1156"/>
      <c r="D23" s="683"/>
      <c r="E23" s="706"/>
      <c r="F23" s="679"/>
      <c r="G23" s="743">
        <f>SUM(G16:G22)</f>
        <v>36608396</v>
      </c>
      <c r="H23" s="657"/>
      <c r="I23" s="653">
        <f>SUM(I16:I22)</f>
        <v>236658778</v>
      </c>
      <c r="J23" s="885">
        <f>Тодотгол_2023_хавсралт_2!F23-H23</f>
        <v>0</v>
      </c>
      <c r="K23" s="885">
        <f>Тодотгол_2023_хавсралт_2!G23-I23</f>
        <v>238336650.12</v>
      </c>
      <c r="L23" s="899"/>
      <c r="M23" s="766"/>
      <c r="N23" s="638"/>
      <c r="O23" s="638"/>
      <c r="P23" s="638"/>
    </row>
    <row r="24" spans="1:16" ht="13.5" thickBot="1" x14ac:dyDescent="0.25">
      <c r="A24" s="600">
        <v>14</v>
      </c>
      <c r="B24" s="1143" t="s">
        <v>84</v>
      </c>
      <c r="C24" s="1144"/>
      <c r="D24" s="686"/>
      <c r="E24" s="678"/>
      <c r="F24" s="722"/>
      <c r="G24" s="744">
        <f>G23+G12+G15</f>
        <v>76243395.799999997</v>
      </c>
      <c r="H24" s="657"/>
      <c r="I24" s="653">
        <f>I23+I12+I15</f>
        <v>287867677.80000001</v>
      </c>
      <c r="J24" s="885">
        <f>Тодотгол_2023_хавсралт_2!F24-H24</f>
        <v>0</v>
      </c>
      <c r="K24" s="885">
        <f>Тодотгол_2023_хавсралт_2!G24-I24</f>
        <v>238336650.31999999</v>
      </c>
      <c r="L24" s="899"/>
      <c r="M24" s="766"/>
      <c r="N24" s="638"/>
      <c r="O24" s="638"/>
      <c r="P24" s="638"/>
    </row>
    <row r="25" spans="1:16" ht="13.5" thickBot="1" x14ac:dyDescent="0.25">
      <c r="A25" s="587">
        <v>15</v>
      </c>
      <c r="B25" s="1168" t="s">
        <v>78</v>
      </c>
      <c r="C25" s="1169"/>
      <c r="D25" s="760" t="s">
        <v>79</v>
      </c>
      <c r="E25" s="647">
        <v>1500000</v>
      </c>
      <c r="F25" s="652">
        <v>1</v>
      </c>
      <c r="G25" s="690">
        <f>$E25*F25</f>
        <v>1500000</v>
      </c>
      <c r="H25" s="647">
        <f>F25+'Гүйцэтгэл_2023_5 сар'!H25</f>
        <v>6</v>
      </c>
      <c r="I25" s="890">
        <f>H25*$E25</f>
        <v>9000000</v>
      </c>
      <c r="J25" s="885">
        <f>Тодотгол_2023_хавсралт_2!F25-H25</f>
        <v>6</v>
      </c>
      <c r="K25" s="885">
        <f>Тодотгол_2023_хавсралт_2!G25-I25</f>
        <v>9000000</v>
      </c>
      <c r="L25" s="899"/>
      <c r="M25" s="766"/>
      <c r="N25" s="638"/>
      <c r="O25" s="638"/>
      <c r="P25" s="638"/>
    </row>
    <row r="26" spans="1:16" ht="13.5" thickBot="1" x14ac:dyDescent="0.25">
      <c r="A26" s="590">
        <v>16</v>
      </c>
      <c r="B26" s="1145" t="s">
        <v>83</v>
      </c>
      <c r="C26" s="1146"/>
      <c r="D26" s="692"/>
      <c r="E26" s="707"/>
      <c r="F26" s="660"/>
      <c r="G26" s="724">
        <f>SUM(G25:G25)</f>
        <v>1500000</v>
      </c>
      <c r="H26" s="728"/>
      <c r="I26" s="724">
        <f>SUM(I25:I25)</f>
        <v>9000000</v>
      </c>
      <c r="J26" s="885">
        <f>Тодотгол_2023_хавсралт_2!F26-H26</f>
        <v>0</v>
      </c>
      <c r="K26" s="885">
        <f>Тодотгол_2023_хавсралт_2!G26-I26</f>
        <v>9000000</v>
      </c>
      <c r="L26" s="899"/>
      <c r="M26" s="766"/>
      <c r="O26" s="638"/>
      <c r="P26" s="638"/>
    </row>
    <row r="27" spans="1:16" ht="13.5" thickBot="1" x14ac:dyDescent="0.25">
      <c r="A27" s="693">
        <v>17</v>
      </c>
      <c r="B27" s="1147" t="s">
        <v>106</v>
      </c>
      <c r="C27" s="1148"/>
      <c r="D27" s="687"/>
      <c r="E27" s="647"/>
      <c r="F27" s="657"/>
      <c r="G27" s="699">
        <f>G26</f>
        <v>1500000</v>
      </c>
      <c r="H27" s="729"/>
      <c r="I27" s="699">
        <f>I26</f>
        <v>9000000</v>
      </c>
      <c r="J27" s="885">
        <f>Тодотгол_2023_хавсралт_2!F27-H27</f>
        <v>0</v>
      </c>
      <c r="K27" s="885">
        <f>Тодотгол_2023_хавсралт_2!G27-I27</f>
        <v>9000000</v>
      </c>
      <c r="L27" s="899"/>
      <c r="M27" s="766"/>
      <c r="O27" s="638"/>
      <c r="P27" s="638"/>
    </row>
    <row r="28" spans="1:16" ht="13.5" thickBot="1" x14ac:dyDescent="0.25">
      <c r="A28" s="600">
        <v>18</v>
      </c>
      <c r="B28" s="1149" t="s">
        <v>102</v>
      </c>
      <c r="C28" s="1150"/>
      <c r="D28" s="700"/>
      <c r="E28" s="708"/>
      <c r="F28" s="725"/>
      <c r="G28" s="726"/>
      <c r="H28" s="730"/>
      <c r="I28" s="726"/>
      <c r="J28" s="885">
        <f>Тодотгол_2023_хавсралт_2!F28-H28</f>
        <v>0</v>
      </c>
      <c r="K28" s="885">
        <f>Тодотгол_2023_хавсралт_2!G28-I28</f>
        <v>544204328.12</v>
      </c>
      <c r="L28" s="899"/>
      <c r="M28" s="766"/>
      <c r="O28" s="638"/>
      <c r="P28" s="638"/>
    </row>
    <row r="29" spans="1:16" ht="13.5" thickBot="1" x14ac:dyDescent="0.25">
      <c r="A29" s="693">
        <v>19</v>
      </c>
      <c r="B29" s="1151" t="s">
        <v>1</v>
      </c>
      <c r="C29" s="1152"/>
      <c r="D29" s="701" t="s">
        <v>2</v>
      </c>
      <c r="E29" s="709"/>
      <c r="F29" s="657"/>
      <c r="G29" s="699">
        <f>G24+G27</f>
        <v>77743395.799999997</v>
      </c>
      <c r="H29" s="731"/>
      <c r="I29" s="699">
        <f>I27+I24</f>
        <v>296867677.80000001</v>
      </c>
      <c r="J29" s="885">
        <f>Тодотгол_2023_хавсралт_2!F29-H29</f>
        <v>0</v>
      </c>
      <c r="K29" s="885">
        <f>Тодотгол_2023_хавсралт_2!G29-I29</f>
        <v>-242447244.98800001</v>
      </c>
      <c r="L29" s="899"/>
      <c r="M29" s="766"/>
      <c r="O29" s="638"/>
      <c r="P29" s="638"/>
    </row>
    <row r="30" spans="1:16" ht="13.5" thickBot="1" x14ac:dyDescent="0.25">
      <c r="A30" s="600">
        <v>20</v>
      </c>
      <c r="B30" s="1135" t="s">
        <v>103</v>
      </c>
      <c r="C30" s="1136"/>
      <c r="D30" s="685" t="s">
        <v>2</v>
      </c>
      <c r="E30" s="710"/>
      <c r="F30" s="657"/>
      <c r="G30" s="699">
        <f>G29*0.1</f>
        <v>7774339.5800000001</v>
      </c>
      <c r="H30" s="732"/>
      <c r="I30" s="699">
        <f>I29*0.1</f>
        <v>29686767.780000001</v>
      </c>
      <c r="J30" s="885">
        <f>Тодотгол_2023_хавсралт_2!F30-H30</f>
        <v>0</v>
      </c>
      <c r="K30" s="885">
        <f>Тодотгол_2023_хавсралт_2!G30-I30</f>
        <v>-27220273.780000001</v>
      </c>
      <c r="L30" s="899"/>
      <c r="M30" s="766"/>
      <c r="O30" s="638"/>
      <c r="P30" s="638"/>
    </row>
    <row r="31" spans="1:16" ht="13.5" thickBot="1" x14ac:dyDescent="0.25">
      <c r="A31" s="587">
        <v>21</v>
      </c>
      <c r="B31" s="1137" t="s">
        <v>104</v>
      </c>
      <c r="C31" s="1138"/>
      <c r="D31" s="688"/>
      <c r="E31" s="711"/>
      <c r="F31" s="658"/>
      <c r="G31" s="699">
        <f>SUM(G29:G30)</f>
        <v>85517735.379999995</v>
      </c>
      <c r="H31" s="733"/>
      <c r="I31" s="699">
        <f>SUM(I29:I30)</f>
        <v>326554445.58000004</v>
      </c>
      <c r="J31" s="885">
        <f>Тодотгол_2023_хавсралт_2!F31-H31</f>
        <v>0</v>
      </c>
      <c r="K31" s="885">
        <f>Тодотгол_2023_хавсралт_2!G31-I31</f>
        <v>274536809.352</v>
      </c>
      <c r="L31" s="899"/>
      <c r="M31" s="766"/>
      <c r="O31" s="638"/>
      <c r="P31" s="638"/>
    </row>
    <row r="32" spans="1:16" ht="15.75" x14ac:dyDescent="0.25">
      <c r="A32" s="698"/>
      <c r="B32" s="601"/>
      <c r="C32" s="602" t="s">
        <v>107</v>
      </c>
      <c r="D32" s="603"/>
      <c r="E32" s="603"/>
      <c r="F32" s="604" t="s">
        <v>108</v>
      </c>
      <c r="G32" s="605"/>
      <c r="H32" s="606"/>
      <c r="I32" s="607">
        <f>I31-G31-'Гүйцэтгэл_2023_5 сар'!I31</f>
        <v>0</v>
      </c>
      <c r="J32" s="885"/>
      <c r="K32" s="885">
        <f>K31+I31-Тодотгол_2023_хавсралт_2!G31</f>
        <v>0</v>
      </c>
      <c r="L32" s="900"/>
      <c r="O32" s="638"/>
      <c r="P32" s="638"/>
    </row>
    <row r="33" spans="1:16" ht="15.75" x14ac:dyDescent="0.25">
      <c r="A33" s="608"/>
      <c r="B33" s="609"/>
      <c r="C33" s="602"/>
      <c r="D33" s="603"/>
      <c r="E33" s="603"/>
      <c r="F33" s="604"/>
      <c r="G33" s="605"/>
      <c r="H33" s="609"/>
      <c r="I33" s="610"/>
      <c r="J33" s="885"/>
      <c r="K33" s="886"/>
      <c r="L33" s="899"/>
      <c r="O33" s="638"/>
      <c r="P33" s="638"/>
    </row>
    <row r="34" spans="1:16" ht="15" x14ac:dyDescent="0.25">
      <c r="A34" s="608"/>
      <c r="B34" s="609"/>
      <c r="C34" s="611" t="s">
        <v>109</v>
      </c>
      <c r="D34" s="612"/>
      <c r="E34" s="612"/>
      <c r="F34" s="604" t="s">
        <v>113</v>
      </c>
      <c r="G34" s="605"/>
      <c r="H34" s="609"/>
      <c r="I34" s="610"/>
      <c r="J34" s="885"/>
      <c r="K34" s="886"/>
      <c r="L34" s="899"/>
      <c r="O34" s="638"/>
    </row>
    <row r="35" spans="1:16" ht="15" x14ac:dyDescent="0.25">
      <c r="A35" s="613"/>
      <c r="B35" s="614"/>
      <c r="C35" s="611"/>
      <c r="D35" s="612"/>
      <c r="E35" s="612"/>
      <c r="F35" s="604"/>
      <c r="G35" s="605"/>
      <c r="H35" s="609"/>
      <c r="I35" s="609"/>
      <c r="J35" s="885"/>
      <c r="K35" s="887"/>
      <c r="L35" s="899"/>
      <c r="O35" s="638"/>
    </row>
    <row r="36" spans="1:16" ht="15" x14ac:dyDescent="0.25">
      <c r="A36" s="613"/>
      <c r="B36" s="614"/>
      <c r="C36" s="611" t="s">
        <v>110</v>
      </c>
      <c r="D36" s="612"/>
      <c r="E36" s="612"/>
      <c r="F36" s="604" t="s">
        <v>111</v>
      </c>
      <c r="G36" s="615"/>
      <c r="H36" s="609"/>
      <c r="I36" s="609"/>
      <c r="J36" s="885"/>
      <c r="K36" s="887"/>
      <c r="N36" s="638"/>
    </row>
    <row r="37" spans="1:16" ht="15" x14ac:dyDescent="0.25">
      <c r="A37" s="608"/>
      <c r="B37" s="613"/>
      <c r="C37" s="611"/>
      <c r="D37" s="612"/>
      <c r="E37" s="612"/>
      <c r="F37" s="604"/>
      <c r="G37" s="615"/>
      <c r="H37" s="609"/>
      <c r="I37" s="609"/>
      <c r="J37" s="885"/>
      <c r="K37" s="886"/>
      <c r="L37" s="899"/>
      <c r="O37" s="638"/>
    </row>
    <row r="38" spans="1:16" ht="15" x14ac:dyDescent="0.25">
      <c r="A38" s="604" t="s">
        <v>119</v>
      </c>
      <c r="B38" s="614"/>
      <c r="C38" s="893" t="s">
        <v>112</v>
      </c>
      <c r="D38" s="615"/>
      <c r="E38" s="615"/>
      <c r="F38" s="604" t="s">
        <v>143</v>
      </c>
      <c r="G38" s="615"/>
      <c r="H38" s="609"/>
      <c r="I38" s="609"/>
      <c r="J38" s="885"/>
      <c r="K38" s="886"/>
      <c r="L38" s="899"/>
      <c r="O38" s="638"/>
    </row>
    <row r="39" spans="1:16" ht="15" x14ac:dyDescent="0.25">
      <c r="A39" s="604" t="s">
        <v>120</v>
      </c>
      <c r="B39" s="613"/>
      <c r="D39" s="615"/>
      <c r="E39" s="615"/>
      <c r="F39" s="583"/>
      <c r="G39" s="615"/>
      <c r="H39" s="609"/>
      <c r="I39" s="609"/>
      <c r="J39" s="885"/>
      <c r="K39" s="886"/>
      <c r="L39" s="899"/>
      <c r="O39" s="638"/>
    </row>
    <row r="40" spans="1:16" ht="15" x14ac:dyDescent="0.25">
      <c r="A40" s="604"/>
      <c r="B40" s="892"/>
      <c r="C40" s="893" t="s">
        <v>114</v>
      </c>
      <c r="D40" s="615"/>
      <c r="E40" s="615"/>
      <c r="F40" s="617" t="s">
        <v>164</v>
      </c>
      <c r="G40" s="604"/>
      <c r="H40" s="604"/>
      <c r="I40" s="604"/>
      <c r="J40" s="885"/>
      <c r="K40" s="886"/>
      <c r="L40" s="899"/>
      <c r="O40" s="638"/>
    </row>
    <row r="41" spans="1:16" ht="14.25" x14ac:dyDescent="0.2">
      <c r="A41" s="608"/>
      <c r="B41" s="609"/>
      <c r="D41" s="583"/>
      <c r="F41" s="583"/>
      <c r="H41" s="609"/>
      <c r="I41" s="609"/>
      <c r="K41" s="888"/>
    </row>
    <row r="42" spans="1:16" ht="15" x14ac:dyDescent="0.25">
      <c r="A42" s="613"/>
      <c r="B42" s="608"/>
      <c r="C42" s="893" t="s">
        <v>115</v>
      </c>
      <c r="D42" s="615"/>
      <c r="E42" s="615"/>
      <c r="F42" s="604" t="s">
        <v>116</v>
      </c>
      <c r="G42" s="604"/>
      <c r="H42" s="609"/>
      <c r="I42" s="609"/>
    </row>
    <row r="43" spans="1:16" ht="14.25" x14ac:dyDescent="0.2">
      <c r="A43" s="615"/>
      <c r="B43" s="615"/>
      <c r="C43" s="615"/>
      <c r="D43" s="615"/>
      <c r="E43" s="615"/>
      <c r="F43" s="615"/>
      <c r="G43" s="615"/>
      <c r="H43" s="615"/>
    </row>
    <row r="44" spans="1:16" x14ac:dyDescent="0.2">
      <c r="A44" s="666"/>
      <c r="B44" s="667"/>
      <c r="C44" s="668"/>
      <c r="D44" s="669"/>
      <c r="E44" s="618"/>
      <c r="F44" s="619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70"/>
      <c r="C46" s="670"/>
      <c r="D46" s="667"/>
      <c r="E46" s="668"/>
      <c r="F46" s="669"/>
      <c r="G46" s="618"/>
      <c r="H46" s="619"/>
      <c r="I46" s="608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20"/>
      <c r="J48" s="889"/>
    </row>
    <row r="49" spans="1:9" x14ac:dyDescent="0.2">
      <c r="A49" s="666"/>
      <c r="B49" s="670"/>
      <c r="C49" s="670"/>
      <c r="D49" s="667"/>
      <c r="E49" s="668"/>
      <c r="F49" s="669"/>
      <c r="G49" s="618"/>
      <c r="H49" s="619"/>
      <c r="I49" s="620"/>
    </row>
    <row r="50" spans="1:9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9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9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9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9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9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9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9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9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9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9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9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9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9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9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21"/>
      <c r="B74" s="622"/>
      <c r="C74" s="622"/>
      <c r="D74" s="623"/>
      <c r="E74" s="620"/>
      <c r="F74" s="624"/>
      <c r="G74" s="618"/>
      <c r="H74" s="619"/>
      <c r="I74" s="620"/>
    </row>
    <row r="75" spans="1:9" x14ac:dyDescent="0.2">
      <c r="A75" s="621"/>
      <c r="B75" s="625"/>
      <c r="C75" s="625"/>
      <c r="D75" s="623"/>
      <c r="E75" s="620"/>
      <c r="F75" s="624"/>
      <c r="G75" s="618"/>
      <c r="H75" s="619"/>
      <c r="I75" s="620"/>
    </row>
    <row r="76" spans="1:9" x14ac:dyDescent="0.2">
      <c r="A76" s="621"/>
      <c r="B76" s="626"/>
      <c r="C76" s="626"/>
      <c r="D76" s="623"/>
      <c r="E76" s="672"/>
      <c r="F76" s="673"/>
      <c r="G76" s="674"/>
      <c r="H76" s="674"/>
      <c r="I76" s="674"/>
    </row>
    <row r="77" spans="1:9" x14ac:dyDescent="0.2">
      <c r="A77" s="621"/>
      <c r="B77" s="627"/>
      <c r="C77" s="627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8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D80" s="629"/>
      <c r="E80" s="627"/>
      <c r="F80" s="630"/>
      <c r="G80" s="631"/>
      <c r="H80" s="630"/>
      <c r="I80" s="632"/>
    </row>
    <row r="81" spans="1:9" x14ac:dyDescent="0.2">
      <c r="A81" s="621"/>
      <c r="D81" s="629"/>
      <c r="E81" s="631"/>
      <c r="F81" s="630"/>
      <c r="G81" s="631"/>
      <c r="H81" s="630"/>
      <c r="I81" s="632"/>
    </row>
    <row r="82" spans="1:9" x14ac:dyDescent="0.2">
      <c r="A82" s="621"/>
      <c r="B82" s="627"/>
      <c r="C82" s="627"/>
      <c r="E82" s="633"/>
      <c r="F82" s="634"/>
      <c r="G82" s="633"/>
      <c r="H82" s="634"/>
      <c r="I82" s="620"/>
    </row>
    <row r="83" spans="1:9" x14ac:dyDescent="0.2">
      <c r="A83" s="621"/>
      <c r="E83" s="635"/>
      <c r="F83" s="636"/>
      <c r="G83" s="633"/>
      <c r="H83" s="636"/>
      <c r="I83" s="620"/>
    </row>
    <row r="84" spans="1:9" x14ac:dyDescent="0.2">
      <c r="A84" s="621"/>
      <c r="B84" s="627"/>
      <c r="C84" s="627"/>
      <c r="D84" s="629"/>
      <c r="E84" s="631"/>
      <c r="F84" s="630"/>
      <c r="G84" s="631"/>
      <c r="H84" s="630"/>
      <c r="I84" s="632"/>
    </row>
    <row r="85" spans="1:9" x14ac:dyDescent="0.2">
      <c r="F85" s="675"/>
      <c r="G85" s="676"/>
    </row>
    <row r="86" spans="1:9" x14ac:dyDescent="0.2">
      <c r="F86" s="675"/>
      <c r="G86" s="676"/>
    </row>
    <row r="87" spans="1:9" x14ac:dyDescent="0.2">
      <c r="D87" s="629"/>
      <c r="E87" s="627"/>
      <c r="F87" s="637"/>
      <c r="G87" s="627"/>
      <c r="H87" s="627"/>
      <c r="I87" s="627"/>
    </row>
    <row r="88" spans="1:9" x14ac:dyDescent="0.2">
      <c r="D88" s="629"/>
      <c r="E88" s="627"/>
      <c r="F88" s="677"/>
      <c r="G88" s="627"/>
      <c r="H88" s="627"/>
      <c r="I88" s="627"/>
    </row>
    <row r="89" spans="1:9" x14ac:dyDescent="0.2">
      <c r="D89" s="629"/>
      <c r="E89" s="627"/>
      <c r="F89" s="63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</sheetData>
  <sheetProtection algorithmName="SHA-512" hashValue="euITOMSZV1NG2jo3wJj8uHcKHHG0NTkjEFk/3Xa0ha37OvwRm9ADUnD7ZFB1uxhx1aoCfaOJPHvPg3ha8duaUg==" saltValue="/lgOsHJOWwJRFo6uXLl4GA==" spinCount="100000" sheet="1" objects="1" scenarios="1"/>
  <mergeCells count="34"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19:C19"/>
    <mergeCell ref="H8:I8"/>
    <mergeCell ref="J8:K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G1:I3"/>
    <mergeCell ref="C4:I4"/>
    <mergeCell ref="C5:I5"/>
    <mergeCell ref="B6:I6"/>
    <mergeCell ref="G7:I7"/>
    <mergeCell ref="A8:A9"/>
    <mergeCell ref="B8:C9"/>
    <mergeCell ref="D8:D9"/>
    <mergeCell ref="E8:E9"/>
    <mergeCell ref="F8:G8"/>
  </mergeCells>
  <printOptions horizontalCentered="1"/>
  <pageMargins left="0.78700000000000003" right="0.78700000000000003" top="1.181" bottom="0.09" header="0.314" footer="0.31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Төсөв</vt:lpstr>
      <vt:lpstr>Хянав_23</vt:lpstr>
      <vt:lpstr>Тодотгол_2023_хавсралт_2</vt:lpstr>
      <vt:lpstr>Тодотгол_2023_хавсралт_3_FINAl </vt:lpstr>
      <vt:lpstr>Гүйцэтгэл_2023_1 сар </vt:lpstr>
      <vt:lpstr>Гүйцэтгэл_2023_2_3 сар </vt:lpstr>
      <vt:lpstr>Гүйцэтгэл_2023_4 сар</vt:lpstr>
      <vt:lpstr>Гүйцэтгэл_2023_5 сар</vt:lpstr>
      <vt:lpstr>Гүйцэтгэл_2023_6 сар </vt:lpstr>
      <vt:lpstr>Гүйцэтгэл_2023_7 сар</vt:lpstr>
      <vt:lpstr>'Гүйцэтгэл_2023_1 сар '!Print_Titles</vt:lpstr>
      <vt:lpstr>'Гүйцэтгэл_2023_2_3 сар '!Print_Titles</vt:lpstr>
      <vt:lpstr>'Гүйцэтгэл_2023_4 сар'!Print_Titles</vt:lpstr>
      <vt:lpstr>'Гүйцэтгэл_2023_5 сар'!Print_Titles</vt:lpstr>
      <vt:lpstr>'Гүйцэтгэл_2023_6 сар '!Print_Titles</vt:lpstr>
      <vt:lpstr>'Гүйцэтгэл_2023_7 сар'!Print_Titles</vt:lpstr>
      <vt:lpstr>Тодотгол_2023_хавсралт_2!Print_Titles</vt:lpstr>
      <vt:lpstr>'Тодотгол_2023_хавсралт_3_FINAl '!Print_Titles</vt:lpstr>
      <vt:lpstr>Төсөв!Print_Titles</vt:lpstr>
      <vt:lpstr>Хянав_23!Print_Titles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GRAVITY</cp:lastModifiedBy>
  <cp:lastPrinted>2023-05-18T00:21:56Z</cp:lastPrinted>
  <dcterms:created xsi:type="dcterms:W3CDTF">2017-04-13T07:38:42Z</dcterms:created>
  <dcterms:modified xsi:type="dcterms:W3CDTF">2023-07-25T08:50:45Z</dcterms:modified>
</cp:coreProperties>
</file>