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Mintores_2021\BuiU-50\Office\Guitsetgel\Guitsetgel 2024\"/>
    </mc:Choice>
  </mc:AlternateContent>
  <xr:revisionPtr revIDLastSave="0" documentId="13_ncr:1_{D2200526-81F8-4C92-94BC-8D8CBC5818A5}" xr6:coauthVersionLast="47" xr6:coauthVersionMax="47" xr10:uidLastSave="{00000000-0000-0000-0000-000000000000}"/>
  <bookViews>
    <workbookView xWindow="-120" yWindow="-120" windowWidth="29040" windowHeight="15720" tabRatio="992" firstSheet="3" activeTab="3" xr2:uid="{00000000-000D-0000-FFFF-FFFF00000000}"/>
  </bookViews>
  <sheets>
    <sheet name="гүйцэтгэлийн маягт-ГСХ (3)" sheetId="60" state="hidden" r:id="rId1"/>
    <sheet name="гүйцэтгэлийн маягт-ГСХ (2)" sheetId="59" state="hidden" r:id="rId2"/>
    <sheet name="Todotgol" sheetId="62" state="hidden" r:id="rId3"/>
    <sheet name="Guitsetgel" sheetId="61" r:id="rId4"/>
  </sheets>
  <definedNames>
    <definedName name="_xlnm.Print_Titles" localSheetId="3">Guitsetgel!$12:$14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61" l="1"/>
  <c r="F75" i="61"/>
  <c r="F76" i="61"/>
  <c r="F77" i="61"/>
  <c r="F78" i="61"/>
  <c r="F79" i="61"/>
  <c r="F80" i="61"/>
  <c r="F81" i="61"/>
  <c r="F82" i="61"/>
  <c r="F83" i="61"/>
  <c r="F84" i="61"/>
  <c r="F85" i="61"/>
  <c r="F86" i="61"/>
  <c r="F87" i="61"/>
  <c r="F88" i="61"/>
  <c r="F89" i="61"/>
  <c r="F90" i="61"/>
  <c r="F91" i="61"/>
  <c r="F92" i="61"/>
  <c r="F93" i="61"/>
  <c r="F94" i="61"/>
  <c r="F95" i="61"/>
  <c r="F96" i="61"/>
  <c r="F97" i="61"/>
  <c r="F98" i="61"/>
  <c r="F99" i="61"/>
  <c r="F100" i="61"/>
  <c r="F101" i="61"/>
  <c r="F102" i="61"/>
  <c r="F103" i="61"/>
  <c r="F104" i="61"/>
  <c r="F105" i="61"/>
  <c r="F106" i="61"/>
  <c r="F107" i="61"/>
  <c r="F108" i="61"/>
  <c r="F73" i="61"/>
  <c r="H34" i="61"/>
  <c r="H35" i="61"/>
  <c r="H36" i="61"/>
  <c r="H37" i="61"/>
  <c r="H38" i="61"/>
  <c r="H39" i="61"/>
  <c r="H40" i="61"/>
  <c r="H41" i="61"/>
  <c r="H42" i="61"/>
  <c r="H43" i="61"/>
  <c r="F52" i="61"/>
  <c r="F53" i="61"/>
  <c r="F51" i="61"/>
  <c r="G74" i="61"/>
  <c r="H74" i="61" s="1"/>
  <c r="G75" i="61"/>
  <c r="H75" i="61" s="1"/>
  <c r="G76" i="61"/>
  <c r="H76" i="61" s="1"/>
  <c r="G77" i="61"/>
  <c r="H77" i="61" s="1"/>
  <c r="G78" i="61"/>
  <c r="H78" i="61" s="1"/>
  <c r="G79" i="61"/>
  <c r="H79" i="61" s="1"/>
  <c r="G80" i="61"/>
  <c r="H80" i="61" s="1"/>
  <c r="G81" i="61"/>
  <c r="H81" i="61" s="1"/>
  <c r="G82" i="61"/>
  <c r="H82" i="61" s="1"/>
  <c r="G83" i="61"/>
  <c r="H83" i="61" s="1"/>
  <c r="G84" i="61"/>
  <c r="H84" i="61" s="1"/>
  <c r="G85" i="61"/>
  <c r="H85" i="61" s="1"/>
  <c r="G86" i="61"/>
  <c r="H86" i="61" s="1"/>
  <c r="G87" i="61"/>
  <c r="H87" i="61" s="1"/>
  <c r="G88" i="61"/>
  <c r="H88" i="61" s="1"/>
  <c r="G89" i="61"/>
  <c r="H89" i="61" s="1"/>
  <c r="G90" i="61"/>
  <c r="H90" i="61" s="1"/>
  <c r="G91" i="61"/>
  <c r="H91" i="61" s="1"/>
  <c r="G92" i="61"/>
  <c r="H92" i="61" s="1"/>
  <c r="G93" i="61"/>
  <c r="H93" i="61" s="1"/>
  <c r="G94" i="61"/>
  <c r="H94" i="61" s="1"/>
  <c r="G95" i="61"/>
  <c r="H95" i="61" s="1"/>
  <c r="G96" i="61"/>
  <c r="H96" i="61" s="1"/>
  <c r="G97" i="61"/>
  <c r="H97" i="61" s="1"/>
  <c r="G98" i="61"/>
  <c r="H98" i="61" s="1"/>
  <c r="G99" i="61"/>
  <c r="H99" i="61" s="1"/>
  <c r="G100" i="61"/>
  <c r="H100" i="61" s="1"/>
  <c r="G101" i="61"/>
  <c r="H101" i="61" s="1"/>
  <c r="G102" i="61"/>
  <c r="H102" i="61" s="1"/>
  <c r="G103" i="61"/>
  <c r="H103" i="61" s="1"/>
  <c r="G104" i="61"/>
  <c r="H104" i="61" s="1"/>
  <c r="G105" i="61"/>
  <c r="H105" i="61" s="1"/>
  <c r="G106" i="61"/>
  <c r="H106" i="61" s="1"/>
  <c r="G107" i="61"/>
  <c r="H107" i="61" s="1"/>
  <c r="G108" i="61"/>
  <c r="H108" i="61" s="1"/>
  <c r="G73" i="61"/>
  <c r="H73" i="61" s="1"/>
  <c r="G69" i="61"/>
  <c r="G70" i="61"/>
  <c r="G68" i="61"/>
  <c r="G62" i="61"/>
  <c r="G63" i="61"/>
  <c r="G64" i="61"/>
  <c r="G65" i="61"/>
  <c r="G66" i="61"/>
  <c r="G61" i="61"/>
  <c r="G57" i="61"/>
  <c r="G59" i="61"/>
  <c r="G56" i="61"/>
  <c r="G51" i="61"/>
  <c r="G52" i="61"/>
  <c r="H52" i="61" s="1"/>
  <c r="G53" i="61"/>
  <c r="H53" i="61" s="1"/>
  <c r="G50" i="61"/>
  <c r="G33" i="61"/>
  <c r="H33" i="61" s="1"/>
  <c r="G34" i="61"/>
  <c r="G35" i="61"/>
  <c r="G36" i="61"/>
  <c r="G37" i="61"/>
  <c r="G38" i="61"/>
  <c r="G39" i="61"/>
  <c r="G40" i="61"/>
  <c r="G41" i="61"/>
  <c r="G42" i="61"/>
  <c r="G43" i="61"/>
  <c r="G44" i="61"/>
  <c r="H44" i="61" s="1"/>
  <c r="G45" i="61"/>
  <c r="H45" i="61" s="1"/>
  <c r="G46" i="61"/>
  <c r="G47" i="61"/>
  <c r="G48" i="61"/>
  <c r="G32" i="61"/>
  <c r="G27" i="61"/>
  <c r="G28" i="61"/>
  <c r="G29" i="61"/>
  <c r="G30" i="61"/>
  <c r="G26" i="61"/>
  <c r="G19" i="61"/>
  <c r="G20" i="61"/>
  <c r="G21" i="61"/>
  <c r="G22" i="61"/>
  <c r="G23" i="61"/>
  <c r="G24" i="61"/>
  <c r="G18" i="61"/>
  <c r="G16" i="61"/>
  <c r="F16" i="61"/>
  <c r="F45" i="61"/>
  <c r="F41" i="61"/>
  <c r="F39" i="61"/>
  <c r="F38" i="61"/>
  <c r="F37" i="61"/>
  <c r="F36" i="61"/>
  <c r="F35" i="61"/>
  <c r="E100" i="62"/>
  <c r="E99" i="62"/>
  <c r="E98" i="62"/>
  <c r="E96" i="62"/>
  <c r="E95" i="62"/>
  <c r="E94" i="62"/>
  <c r="E90" i="62"/>
  <c r="E84" i="62"/>
  <c r="E83" i="62"/>
  <c r="E81" i="62"/>
  <c r="E80" i="62"/>
  <c r="E76" i="62"/>
  <c r="E75" i="62"/>
  <c r="E74" i="62"/>
  <c r="E73" i="62"/>
  <c r="E67" i="62"/>
  <c r="A55" i="62"/>
  <c r="A56" i="62" s="1"/>
  <c r="A57" i="62" s="1"/>
  <c r="A58" i="62" s="1"/>
  <c r="A59" i="62" s="1"/>
  <c r="A60" i="62" s="1"/>
  <c r="A62" i="62" s="1"/>
  <c r="A63" i="62" s="1"/>
  <c r="A64" i="62" s="1"/>
  <c r="A67" i="62" s="1"/>
  <c r="A68" i="62" s="1"/>
  <c r="A69" i="62" s="1"/>
  <c r="A70" i="62" s="1"/>
  <c r="A72" i="62" s="1"/>
  <c r="A73" i="62" s="1"/>
  <c r="A74" i="62" s="1"/>
  <c r="A75" i="62" s="1"/>
  <c r="A76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8" i="62" s="1"/>
  <c r="A99" i="62" s="1"/>
  <c r="A100" i="62" s="1"/>
  <c r="A102" i="62" s="1"/>
  <c r="A103" i="62" s="1"/>
  <c r="A104" i="62" s="1"/>
  <c r="A105" i="62" s="1"/>
  <c r="A107" i="62" s="1"/>
  <c r="A108" i="62" s="1"/>
  <c r="A109" i="62" s="1"/>
  <c r="A110" i="62" s="1"/>
  <c r="A113" i="62" s="1"/>
  <c r="A114" i="62" s="1"/>
  <c r="A10" i="62"/>
  <c r="A11" i="62" s="1"/>
  <c r="A12" i="62" s="1"/>
  <c r="A13" i="62" s="1"/>
  <c r="A14" i="62" s="1"/>
  <c r="A15" i="62" s="1"/>
  <c r="A17" i="62" s="1"/>
  <c r="A18" i="62" s="1"/>
  <c r="A19" i="62" s="1"/>
  <c r="A20" i="62" s="1"/>
  <c r="A21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1" i="62" s="1"/>
  <c r="A42" i="62" s="1"/>
  <c r="A43" i="62" s="1"/>
  <c r="A44" i="62" s="1"/>
  <c r="A45" i="62" s="1"/>
  <c r="A46" i="62" s="1"/>
  <c r="A49" i="62" s="1"/>
  <c r="A50" i="62" s="1"/>
  <c r="A51" i="62" s="1"/>
  <c r="F109" i="61" l="1"/>
  <c r="N18" i="61"/>
  <c r="H57" i="61" l="1"/>
  <c r="H56" i="61"/>
  <c r="H47" i="61"/>
  <c r="H24" i="61"/>
  <c r="F24" i="61"/>
  <c r="F57" i="61" l="1"/>
  <c r="F59" i="61"/>
  <c r="H48" i="61" l="1"/>
  <c r="H46" i="61"/>
  <c r="F46" i="61"/>
  <c r="F47" i="61"/>
  <c r="F48" i="61"/>
  <c r="H18" i="61" l="1"/>
  <c r="A73" i="61"/>
  <c r="A77" i="61" s="1"/>
  <c r="A78" i="61" s="1"/>
  <c r="A79" i="61" s="1"/>
  <c r="A102" i="61" s="1"/>
  <c r="A104" i="61" s="1"/>
  <c r="A106" i="61" s="1"/>
  <c r="A108" i="61" s="1"/>
  <c r="H32" i="61"/>
  <c r="F33" i="61"/>
  <c r="F32" i="61"/>
  <c r="H30" i="61"/>
  <c r="F30" i="61"/>
  <c r="H27" i="61"/>
  <c r="F27" i="61"/>
  <c r="H66" i="61"/>
  <c r="F66" i="61"/>
  <c r="F43" i="61"/>
  <c r="F42" i="61"/>
  <c r="H29" i="61"/>
  <c r="F29" i="61"/>
  <c r="H26" i="61"/>
  <c r="F26" i="61"/>
  <c r="F23" i="61"/>
  <c r="H59" i="61"/>
  <c r="H69" i="61"/>
  <c r="H70" i="61"/>
  <c r="H68" i="61"/>
  <c r="F69" i="61"/>
  <c r="F70" i="61"/>
  <c r="F68" i="61"/>
  <c r="F71" i="61" s="1"/>
  <c r="F15" i="61"/>
  <c r="H111" i="61"/>
  <c r="H112" i="61" s="1"/>
  <c r="F111" i="61"/>
  <c r="F112" i="61" s="1"/>
  <c r="H109" i="61"/>
  <c r="H65" i="61"/>
  <c r="F65" i="61"/>
  <c r="H64" i="61"/>
  <c r="F64" i="61"/>
  <c r="H63" i="61"/>
  <c r="H62" i="61"/>
  <c r="F62" i="61"/>
  <c r="F61" i="61"/>
  <c r="H58" i="61"/>
  <c r="F58" i="61"/>
  <c r="F56" i="61"/>
  <c r="H51" i="61"/>
  <c r="H50" i="61"/>
  <c r="F50" i="61"/>
  <c r="F54" i="61" s="1"/>
  <c r="F44" i="61"/>
  <c r="F40" i="61"/>
  <c r="F34" i="61"/>
  <c r="H28" i="61"/>
  <c r="F28" i="61"/>
  <c r="H23" i="61"/>
  <c r="H22" i="61"/>
  <c r="F22" i="61"/>
  <c r="H21" i="61"/>
  <c r="F21" i="61"/>
  <c r="H20" i="61"/>
  <c r="F20" i="61"/>
  <c r="H19" i="61"/>
  <c r="F19" i="61"/>
  <c r="F18" i="61"/>
  <c r="F25" i="61" s="1"/>
  <c r="H16" i="61"/>
  <c r="H15" i="61"/>
  <c r="H61" i="61"/>
  <c r="F63" i="61"/>
  <c r="H57" i="59"/>
  <c r="F57" i="59"/>
  <c r="I68" i="59"/>
  <c r="J72" i="59"/>
  <c r="I69" i="60"/>
  <c r="I68" i="60"/>
  <c r="I67" i="60"/>
  <c r="F66" i="60"/>
  <c r="H66" i="60"/>
  <c r="J66" i="60"/>
  <c r="I66" i="60"/>
  <c r="I65" i="60"/>
  <c r="I64" i="60"/>
  <c r="I63" i="60"/>
  <c r="F62" i="60"/>
  <c r="H62" i="60"/>
  <c r="J62" i="60"/>
  <c r="I62" i="60"/>
  <c r="F61" i="60"/>
  <c r="H61" i="60"/>
  <c r="J61" i="60"/>
  <c r="I61" i="60"/>
  <c r="I58" i="60"/>
  <c r="I57" i="60"/>
  <c r="F56" i="60"/>
  <c r="J56" i="60" s="1"/>
  <c r="H56" i="60"/>
  <c r="I56" i="60"/>
  <c r="I55" i="60"/>
  <c r="I54" i="60"/>
  <c r="E52" i="60"/>
  <c r="I52" i="60"/>
  <c r="I51" i="60"/>
  <c r="I50" i="60"/>
  <c r="I49" i="60"/>
  <c r="I46" i="60"/>
  <c r="I45" i="60"/>
  <c r="I43" i="60"/>
  <c r="J42" i="60"/>
  <c r="I42" i="60"/>
  <c r="J41" i="60"/>
  <c r="I41" i="60"/>
  <c r="J40" i="60"/>
  <c r="I40" i="60"/>
  <c r="F39" i="60"/>
  <c r="H39" i="60"/>
  <c r="J39" i="60"/>
  <c r="I39" i="60"/>
  <c r="I38" i="60"/>
  <c r="I37" i="60"/>
  <c r="J36" i="60"/>
  <c r="I36" i="60"/>
  <c r="F35" i="60"/>
  <c r="J35" i="60" s="1"/>
  <c r="H35" i="60"/>
  <c r="I35" i="60"/>
  <c r="J34" i="60"/>
  <c r="I34" i="60"/>
  <c r="J33" i="60"/>
  <c r="I33" i="60"/>
  <c r="I29" i="60"/>
  <c r="J29" i="60"/>
  <c r="I30" i="60"/>
  <c r="I31" i="60"/>
  <c r="I28" i="60"/>
  <c r="I27" i="60"/>
  <c r="I26" i="60"/>
  <c r="I25" i="60"/>
  <c r="I24" i="60"/>
  <c r="I21" i="60"/>
  <c r="F21" i="60"/>
  <c r="H21" i="60"/>
  <c r="J21" i="60"/>
  <c r="I22" i="60"/>
  <c r="F22" i="60"/>
  <c r="H22" i="60"/>
  <c r="J22" i="60"/>
  <c r="I23" i="60"/>
  <c r="I20" i="60"/>
  <c r="F72" i="60"/>
  <c r="F74" i="60" s="1"/>
  <c r="H72" i="60"/>
  <c r="H74" i="60" s="1"/>
  <c r="F69" i="60"/>
  <c r="H69" i="60"/>
  <c r="H68" i="60"/>
  <c r="F68" i="60"/>
  <c r="J68" i="60"/>
  <c r="F67" i="60"/>
  <c r="F65" i="60"/>
  <c r="H65" i="60"/>
  <c r="J65" i="60"/>
  <c r="F64" i="60"/>
  <c r="J64" i="60" s="1"/>
  <c r="H64" i="60"/>
  <c r="F63" i="60"/>
  <c r="H63" i="60" s="1"/>
  <c r="F58" i="60"/>
  <c r="H58" i="60" s="1"/>
  <c r="J58" i="60" s="1"/>
  <c r="H54" i="60"/>
  <c r="H55" i="60"/>
  <c r="H57" i="60"/>
  <c r="F57" i="60"/>
  <c r="J57" i="60"/>
  <c r="F55" i="60"/>
  <c r="J55" i="60"/>
  <c r="F54" i="60"/>
  <c r="J54" i="60"/>
  <c r="F52" i="60"/>
  <c r="J52" i="60" s="1"/>
  <c r="H52" i="60"/>
  <c r="F51" i="60"/>
  <c r="H51" i="60" s="1"/>
  <c r="F50" i="60"/>
  <c r="H50" i="60" s="1"/>
  <c r="F49" i="60"/>
  <c r="H46" i="60"/>
  <c r="F46" i="60"/>
  <c r="J46" i="60"/>
  <c r="H45" i="60"/>
  <c r="J45" i="60" s="1"/>
  <c r="H47" i="60"/>
  <c r="J47" i="60" s="1"/>
  <c r="F45" i="60"/>
  <c r="F47" i="60"/>
  <c r="H43" i="60"/>
  <c r="F43" i="60"/>
  <c r="J43" i="60"/>
  <c r="F38" i="60"/>
  <c r="F44" i="60" s="1"/>
  <c r="H37" i="60"/>
  <c r="F37" i="60"/>
  <c r="J37" i="60" s="1"/>
  <c r="H31" i="60"/>
  <c r="F31" i="60"/>
  <c r="J31" i="60"/>
  <c r="F30" i="60"/>
  <c r="J30" i="60" s="1"/>
  <c r="H30" i="60"/>
  <c r="H28" i="60"/>
  <c r="F28" i="60"/>
  <c r="J28" i="60"/>
  <c r="H27" i="60"/>
  <c r="F27" i="60"/>
  <c r="J27" i="60"/>
  <c r="F26" i="60"/>
  <c r="H26" i="60" s="1"/>
  <c r="H32" i="60" s="1"/>
  <c r="H25" i="60"/>
  <c r="F25" i="60"/>
  <c r="F23" i="60"/>
  <c r="J23" i="60" s="1"/>
  <c r="H23" i="60"/>
  <c r="F20" i="60"/>
  <c r="F24" i="60"/>
  <c r="J68" i="59"/>
  <c r="I66" i="59"/>
  <c r="J66" i="59"/>
  <c r="I61" i="59"/>
  <c r="J61" i="59"/>
  <c r="I57" i="59"/>
  <c r="J57" i="59" s="1"/>
  <c r="I56" i="59"/>
  <c r="J56" i="59" s="1"/>
  <c r="I55" i="59"/>
  <c r="J55" i="59" s="1"/>
  <c r="I54" i="59"/>
  <c r="J54" i="59" s="1"/>
  <c r="J59" i="59" s="1"/>
  <c r="I46" i="59"/>
  <c r="I45" i="59"/>
  <c r="J45" i="59"/>
  <c r="J47" i="59" s="1"/>
  <c r="J46" i="59"/>
  <c r="I43" i="59"/>
  <c r="H61" i="59"/>
  <c r="I35" i="59"/>
  <c r="J35" i="59"/>
  <c r="J37" i="59"/>
  <c r="I31" i="59"/>
  <c r="J31" i="59" s="1"/>
  <c r="I28" i="59"/>
  <c r="I27" i="59"/>
  <c r="J27" i="59" s="1"/>
  <c r="J32" i="59" s="1"/>
  <c r="I25" i="59"/>
  <c r="J20" i="59"/>
  <c r="H68" i="59"/>
  <c r="H66" i="59"/>
  <c r="H55" i="59"/>
  <c r="H59" i="59" s="1"/>
  <c r="H46" i="59"/>
  <c r="H45" i="59"/>
  <c r="H47" i="59" s="1"/>
  <c r="H43" i="59"/>
  <c r="H35" i="59"/>
  <c r="H37" i="59"/>
  <c r="H31" i="59"/>
  <c r="H28" i="59"/>
  <c r="H25" i="59"/>
  <c r="H32" i="59" s="1"/>
  <c r="F58" i="59"/>
  <c r="H58" i="59"/>
  <c r="F50" i="59"/>
  <c r="H50" i="59" s="1"/>
  <c r="J74" i="59"/>
  <c r="F72" i="59"/>
  <c r="H72" i="59" s="1"/>
  <c r="H74" i="59" s="1"/>
  <c r="F74" i="59"/>
  <c r="F75" i="59" s="1"/>
  <c r="J69" i="59"/>
  <c r="F69" i="59"/>
  <c r="H69" i="59"/>
  <c r="F68" i="59"/>
  <c r="J67" i="59"/>
  <c r="F67" i="59"/>
  <c r="H67" i="59"/>
  <c r="F66" i="59"/>
  <c r="J65" i="59"/>
  <c r="F65" i="59"/>
  <c r="H65" i="59"/>
  <c r="J64" i="59"/>
  <c r="F64" i="59"/>
  <c r="H64" i="59" s="1"/>
  <c r="J63" i="59"/>
  <c r="F63" i="59"/>
  <c r="H63" i="59"/>
  <c r="H70" i="59" s="1"/>
  <c r="J62" i="59"/>
  <c r="F62" i="59"/>
  <c r="H62" i="59"/>
  <c r="F61" i="59"/>
  <c r="F70" i="59" s="1"/>
  <c r="J58" i="59"/>
  <c r="F56" i="59"/>
  <c r="F55" i="59"/>
  <c r="F54" i="59"/>
  <c r="F59" i="59" s="1"/>
  <c r="I52" i="59"/>
  <c r="J52" i="59"/>
  <c r="E52" i="59"/>
  <c r="F52" i="59" s="1"/>
  <c r="H52" i="59" s="1"/>
  <c r="J51" i="59"/>
  <c r="F51" i="59"/>
  <c r="H51" i="59"/>
  <c r="J50" i="59"/>
  <c r="J49" i="59"/>
  <c r="J53" i="59" s="1"/>
  <c r="F49" i="59"/>
  <c r="H49" i="59" s="1"/>
  <c r="F46" i="59"/>
  <c r="F45" i="59"/>
  <c r="F47" i="59"/>
  <c r="J43" i="59"/>
  <c r="J44" i="59" s="1"/>
  <c r="F43" i="59"/>
  <c r="J39" i="59"/>
  <c r="F39" i="59"/>
  <c r="H39" i="59"/>
  <c r="J38" i="59"/>
  <c r="F38" i="59"/>
  <c r="H38" i="59"/>
  <c r="H44" i="59" s="1"/>
  <c r="H48" i="59" s="1"/>
  <c r="F35" i="59"/>
  <c r="F37" i="59"/>
  <c r="F31" i="59"/>
  <c r="J30" i="59"/>
  <c r="F30" i="59"/>
  <c r="H30" i="59"/>
  <c r="J28" i="59"/>
  <c r="F28" i="59"/>
  <c r="F27" i="59"/>
  <c r="F32" i="59" s="1"/>
  <c r="F48" i="59" s="1"/>
  <c r="J26" i="59"/>
  <c r="F26" i="59"/>
  <c r="H26" i="59"/>
  <c r="J25" i="59"/>
  <c r="F25" i="59"/>
  <c r="J23" i="59"/>
  <c r="F23" i="59"/>
  <c r="H23" i="59"/>
  <c r="J22" i="59"/>
  <c r="F22" i="59"/>
  <c r="H22" i="59"/>
  <c r="J21" i="59"/>
  <c r="J24" i="59" s="1"/>
  <c r="F21" i="59"/>
  <c r="H21" i="59"/>
  <c r="F20" i="59"/>
  <c r="F24" i="59" s="1"/>
  <c r="H20" i="59"/>
  <c r="H24" i="59" s="1"/>
  <c r="J69" i="60"/>
  <c r="F59" i="60"/>
  <c r="H20" i="60"/>
  <c r="H24" i="60" s="1"/>
  <c r="J20" i="60"/>
  <c r="J25" i="60"/>
  <c r="F44" i="59"/>
  <c r="H49" i="60"/>
  <c r="J49" i="60" s="1"/>
  <c r="J70" i="59"/>
  <c r="J75" i="59" s="1"/>
  <c r="F60" i="61" l="1"/>
  <c r="F67" i="61"/>
  <c r="F49" i="61"/>
  <c r="F31" i="61"/>
  <c r="M67" i="61"/>
  <c r="H67" i="61"/>
  <c r="M25" i="61"/>
  <c r="H25" i="61"/>
  <c r="J74" i="60"/>
  <c r="H59" i="60"/>
  <c r="J59" i="60" s="1"/>
  <c r="J50" i="60"/>
  <c r="H53" i="60"/>
  <c r="J48" i="59"/>
  <c r="J60" i="59" s="1"/>
  <c r="J76" i="59" s="1"/>
  <c r="F60" i="59"/>
  <c r="F76" i="59" s="1"/>
  <c r="J67" i="60"/>
  <c r="H75" i="59"/>
  <c r="J24" i="60"/>
  <c r="H53" i="59"/>
  <c r="H60" i="59" s="1"/>
  <c r="F53" i="59"/>
  <c r="J72" i="60"/>
  <c r="H67" i="60"/>
  <c r="H70" i="60" s="1"/>
  <c r="H75" i="60" s="1"/>
  <c r="J51" i="60"/>
  <c r="J26" i="60"/>
  <c r="H38" i="60"/>
  <c r="F70" i="60"/>
  <c r="F75" i="60" s="1"/>
  <c r="F53" i="60"/>
  <c r="J53" i="60" s="1"/>
  <c r="F32" i="60"/>
  <c r="J32" i="60" s="1"/>
  <c r="J63" i="60"/>
  <c r="H113" i="61"/>
  <c r="M49" i="61"/>
  <c r="H49" i="61"/>
  <c r="F17" i="61"/>
  <c r="M60" i="61"/>
  <c r="H17" i="61"/>
  <c r="H71" i="61"/>
  <c r="H60" i="61"/>
  <c r="H31" i="61"/>
  <c r="H54" i="61"/>
  <c r="F55" i="61" l="1"/>
  <c r="F72" i="61" s="1"/>
  <c r="F113" i="61"/>
  <c r="M113" i="61" s="1"/>
  <c r="M109" i="61"/>
  <c r="F77" i="59"/>
  <c r="F78" i="59"/>
  <c r="J77" i="59"/>
  <c r="J78" i="59"/>
  <c r="J75" i="60"/>
  <c r="H76" i="59"/>
  <c r="F48" i="60"/>
  <c r="H44" i="60"/>
  <c r="J38" i="60"/>
  <c r="J70" i="60"/>
  <c r="H55" i="61"/>
  <c r="M55" i="61" l="1"/>
  <c r="H72" i="61"/>
  <c r="H114" i="61" s="1"/>
  <c r="H115" i="61" s="1"/>
  <c r="H116" i="61" s="1"/>
  <c r="H77" i="59"/>
  <c r="H78" i="59" s="1"/>
  <c r="H80" i="59" s="1"/>
  <c r="H81" i="59" s="1"/>
  <c r="H48" i="60"/>
  <c r="H60" i="60" s="1"/>
  <c r="H76" i="60" s="1"/>
  <c r="J44" i="60"/>
  <c r="F60" i="60"/>
  <c r="F114" i="61" l="1"/>
  <c r="M72" i="61"/>
  <c r="J60" i="60"/>
  <c r="F76" i="60"/>
  <c r="J48" i="60"/>
  <c r="H77" i="60"/>
  <c r="H78" i="60"/>
  <c r="F115" i="61" l="1"/>
  <c r="M114" i="61"/>
  <c r="J76" i="60"/>
  <c r="F77" i="60"/>
  <c r="J77" i="60" s="1"/>
  <c r="F78" i="60"/>
  <c r="J78" i="60" s="1"/>
  <c r="F116" i="61" l="1"/>
  <c r="M116" i="61" s="1"/>
  <c r="M115" i="61"/>
</calcChain>
</file>

<file path=xl/sharedStrings.xml><?xml version="1.0" encoding="utf-8"?>
<sst xmlns="http://schemas.openxmlformats.org/spreadsheetml/2006/main" count="773" uniqueCount="281">
  <si>
    <t>Дүн</t>
  </si>
  <si>
    <t>Танилцсан:</t>
  </si>
  <si>
    <t>Хянасан:</t>
  </si>
  <si>
    <t>Сансрын зургийн тайлал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</si>
  <si>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</si>
  <si>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</si>
  <si>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</si>
  <si>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</si>
  <si>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</si>
  <si>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</si>
  <si>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</si>
  <si>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</si>
  <si>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</si>
  <si>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</si>
  <si>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Шурф нэвтрэлт II-IY</t>
  </si>
  <si>
    <t>Суваг малталт</t>
  </si>
  <si>
    <t>Копуш малталт</t>
  </si>
  <si>
    <t>Уулын ажлын булалт</t>
  </si>
  <si>
    <t>Үнэмлэхүй насны сорьцлолт</t>
  </si>
  <si>
    <t>Шлих /шурф/</t>
  </si>
  <si>
    <t>Зохион байгуулалт</t>
  </si>
  <si>
    <t>Татан буулгалт</t>
  </si>
  <si>
    <t>Микро фото зураг авах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</si>
  <si>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</si>
  <si>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</si>
  <si>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</si>
  <si>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</si>
  <si>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</si>
  <si>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</si>
  <si>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</si>
  <si>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Авто тээврийн татвар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</si>
  <si>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</si>
  <si>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</si>
  <si>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</si>
  <si>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</si>
  <si>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</si>
  <si>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</si>
  <si>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</si>
  <si>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</si>
  <si>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</si>
  <si>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</si>
  <si>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</si>
  <si>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</si>
  <si>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</si>
  <si>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</si>
  <si>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</si>
  <si>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</si>
  <si>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</si>
  <si>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</si>
  <si>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</si>
  <si>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дэд дарга, ерөнхий геологич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</si>
  <si>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</si>
  <si>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</si>
  <si>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</si>
  <si>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</si>
  <si>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</si>
  <si>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>Палеонтологийн дээжлэлт</t>
  </si>
  <si>
    <t xml:space="preserve">Уулын ажлын дүн </t>
  </si>
  <si>
    <t>ГБТА-д тайлан үзэх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</si>
  <si>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</si>
  <si>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</si>
  <si>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</si>
  <si>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</si>
  <si>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</si>
  <si>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</si>
  <si>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</si>
  <si>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</si>
  <si>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/…………………………………../</t>
  </si>
  <si>
    <t>/Б.Уянга/</t>
  </si>
  <si>
    <t>/С.Батмөнх/</t>
  </si>
  <si>
    <t>/И.Баттуяа/</t>
  </si>
  <si>
    <t>УЛСЫН ТӨСВИЙН ХӨРӨНГӨӨР ХЭРЭГЖҮҮЛЖ БАЙГАА БУЙЛСТ ХҮРЭН УУЛ-50 ТӨСЛИЙН</t>
  </si>
  <si>
    <t>х/ө</t>
  </si>
  <si>
    <t>%</t>
  </si>
  <si>
    <t>Сансрын зургийн боловсруулалт</t>
  </si>
  <si>
    <t>кв.км</t>
  </si>
  <si>
    <t>т.км</t>
  </si>
  <si>
    <t>сорьц</t>
  </si>
  <si>
    <t>копуш</t>
  </si>
  <si>
    <t>сар</t>
  </si>
  <si>
    <t>\</t>
  </si>
  <si>
    <t>Төсвийн дүн: 1,023,714,690 /төгрөгөөр/</t>
  </si>
  <si>
    <t>Литогеохими урсгал</t>
  </si>
  <si>
    <t>/Ш.Доржсүрэн/</t>
  </si>
  <si>
    <t>/Б.Жанчив/</t>
  </si>
  <si>
    <t>/Д.Эрдэнэболд/</t>
  </si>
  <si>
    <t>"БуйУ-50" Төслийн ахлагч</t>
  </si>
  <si>
    <t>"Минторес" ХХК-ий захирал</t>
  </si>
  <si>
    <t>"Минторес" ХХК-ий эдийн засагч, нягтлан бодогч</t>
  </si>
  <si>
    <t>Шлиф</t>
  </si>
  <si>
    <t>Цэглэн, штуф сорьцлолт</t>
  </si>
  <si>
    <t>Шлихийн угаалга</t>
  </si>
  <si>
    <t>куб.м</t>
  </si>
  <si>
    <t>Соронзон (талбайн)</t>
  </si>
  <si>
    <t>Үйлдвэрлэлийн тээвэр (Ланд-105)</t>
  </si>
  <si>
    <t>Үйлдвэрлэлийн тээвэр (УАЗ-Фургон)</t>
  </si>
  <si>
    <t>км</t>
  </si>
  <si>
    <t>Хүн тээвэр (УАЗ-Фургон)</t>
  </si>
  <si>
    <t>Хүн тээвэр (Ланд-105)</t>
  </si>
  <si>
    <t xml:space="preserve">Ачаа тээвэр </t>
  </si>
  <si>
    <t>Томилолтын зардал (Хээрийн нэмэгдэл)</t>
  </si>
  <si>
    <t xml:space="preserve">Литогеохими, хоёрдогч </t>
  </si>
  <si>
    <t xml:space="preserve">Бусад сорьцлолтын дүн </t>
  </si>
  <si>
    <t>Радиометр (талбайн)</t>
  </si>
  <si>
    <t>Хээрийн ажлын дүн  /II-V/</t>
  </si>
  <si>
    <t>ӨӨРИЙН ХҮЧНИЙ АЖЛЫН ДҮН /I+VI+VII+VIII/</t>
  </si>
  <si>
    <t>Шлиф бэлтгэл</t>
  </si>
  <si>
    <t>2021 ОНЫ 11-Р САРЫН АЖЛЫН ГҮЙЦЭТГЭЛИЙН АКТ</t>
  </si>
  <si>
    <t>2021 оны 11 дүгээр сарын 01-нээс 12 дүгээр сарын 01-ний өдөр хүртэл</t>
  </si>
  <si>
    <t>Эрдсийн хураангуй</t>
  </si>
  <si>
    <t>ICP 50 элемент (2 хүчлийн)</t>
  </si>
  <si>
    <t>ICP 33 элемент (4 хүчлийн)</t>
  </si>
  <si>
    <t>3.5 кг хүртэл жинтэй дээж бутлах</t>
  </si>
  <si>
    <t>500 гр хүртэл жинтэй геохими бутлах</t>
  </si>
  <si>
    <t>Алт (AAC) химийн</t>
  </si>
  <si>
    <t>Тайлант 11-р сарын гүйцэтгэл</t>
  </si>
  <si>
    <t>Хээрийн материал хүлээлгэн өгч давсан гүйцэтгэл</t>
  </si>
  <si>
    <t>2021 ОНЫ 11,12-Р САРЫН АЖЛЫН ГҮЙЦЭТГЭЛИЙН АКТ</t>
  </si>
  <si>
    <t>2021 оны 11 дүгээр сарын 01-нээс 12 дүгээр сарын 31-ний өдөр хүртэл</t>
  </si>
  <si>
    <t>Авто машины татвар (УАЗ-Фургон)</t>
  </si>
  <si>
    <t>Авто машины татвар (Ланд-105)</t>
  </si>
  <si>
    <t>Авто машины татвар (Ренжер)</t>
  </si>
  <si>
    <t>машин</t>
  </si>
  <si>
    <t>ӨӨРИЙН ХҮЧНИЙ АЖЛЫН ДҮН /I+II+III/</t>
  </si>
  <si>
    <t>Шурф нэвтрэлт</t>
  </si>
  <si>
    <t>т.м</t>
  </si>
  <si>
    <t>Шурфийн шлих угаалга</t>
  </si>
  <si>
    <t>Ачаа тээвэр (Хино-ренжер жижиг)</t>
  </si>
  <si>
    <t>Ачаа тээвэр (Хино-ренжер том)</t>
  </si>
  <si>
    <t>Эргийн цэвэрлэгээ</t>
  </si>
  <si>
    <t>Сувгаас авах геохими</t>
  </si>
  <si>
    <t>Ховилон /Хусуур/</t>
  </si>
  <si>
    <t>3.5-10 кг жинтэй дээж бутлах</t>
  </si>
  <si>
    <t>/Р.Болд-Эрдэнэ/</t>
  </si>
  <si>
    <t>/Х.Ганхуяг/</t>
  </si>
  <si>
    <t>Монолит</t>
  </si>
  <si>
    <t>Аншлиф</t>
  </si>
  <si>
    <t>Палеонтологийн дээж</t>
  </si>
  <si>
    <t>дээж</t>
  </si>
  <si>
    <t>Палеонтологийн шинжилгээ</t>
  </si>
  <si>
    <t>Палеонтологийн дээж бэлтгэх</t>
  </si>
  <si>
    <t>зүйл</t>
  </si>
  <si>
    <t>Минераграфийн хураангуй</t>
  </si>
  <si>
    <t>Марганц (ААС)</t>
  </si>
  <si>
    <t>ХБАМ-элс</t>
  </si>
  <si>
    <t>ХБАМ-хайрга, дайрга</t>
  </si>
  <si>
    <t>ХБАМ-шавар</t>
  </si>
  <si>
    <t>ХБАМ-өнгөлгөөний чулуу</t>
  </si>
  <si>
    <t>дд</t>
  </si>
  <si>
    <t>Ажлын төрөл</t>
  </si>
  <si>
    <t>2023 оны төсвийн тодотгол</t>
  </si>
  <si>
    <t>Ажлын хэмжээ</t>
  </si>
  <si>
    <t>Нийт өртөг</t>
  </si>
  <si>
    <t>Төсөл,  төсөв зохиох</t>
  </si>
  <si>
    <t>Хээрийн ажлын бэлтгэл</t>
  </si>
  <si>
    <t>Сансрын зургийн тайлалт</t>
  </si>
  <si>
    <t>Бэлтгэл ажлын дүн (1-4)</t>
  </si>
  <si>
    <t>Геологийн зураглал 1:50 000</t>
  </si>
  <si>
    <r>
      <t>км</t>
    </r>
    <r>
      <rPr>
        <vertAlign val="superscript"/>
        <sz val="8"/>
        <color theme="1"/>
        <rFont val="Times New Roman"/>
        <family val="1"/>
      </rPr>
      <t>2</t>
    </r>
  </si>
  <si>
    <t>Литохими анхдагч/Маршрут, зүсэлт/</t>
  </si>
  <si>
    <t xml:space="preserve"> </t>
  </si>
  <si>
    <t>Литохими урсгал</t>
  </si>
  <si>
    <t>Литохими 2-гч тороор</t>
  </si>
  <si>
    <t>Дүн (5-11)</t>
  </si>
  <si>
    <r>
      <t>м</t>
    </r>
    <r>
      <rPr>
        <vertAlign val="superscript"/>
        <sz val="8"/>
        <color theme="1"/>
        <rFont val="Times New Roman"/>
        <family val="1"/>
      </rPr>
      <t>3</t>
    </r>
  </si>
  <si>
    <t>Шүрф нэвтрэлт</t>
  </si>
  <si>
    <t>Булалт</t>
  </si>
  <si>
    <t>Копуш</t>
  </si>
  <si>
    <t>Уулын ажлын дүн (12-16)</t>
  </si>
  <si>
    <t>Ховилон/Хусуур/</t>
  </si>
  <si>
    <t>Цэглэн, штуф</t>
  </si>
  <si>
    <t>Силикат</t>
  </si>
  <si>
    <t>Протолочек авах</t>
  </si>
  <si>
    <t>Протолочек бутлах</t>
  </si>
  <si>
    <t>Протолочек угаах</t>
  </si>
  <si>
    <t>Шурфын шлих</t>
  </si>
  <si>
    <t>Шурфын шлихийн угаалга</t>
  </si>
  <si>
    <t>Гидрохимийн сорьцлолт</t>
  </si>
  <si>
    <t>Палеонтологийн дээж авах</t>
  </si>
  <si>
    <t>Үнэмлэхүй насны сорьц авах</t>
  </si>
  <si>
    <t>Хөрсний дээж</t>
  </si>
  <si>
    <t>Бусад сорьцлолтын дүн (17-33)</t>
  </si>
  <si>
    <t>Соронзон/Нийт талбай</t>
  </si>
  <si>
    <t>Соронзон/Эрлийн хэсэг</t>
  </si>
  <si>
    <t>Радиометрийн/Нийт талбай</t>
  </si>
  <si>
    <t>Радиометрийн/Эрлийн хэсэг</t>
  </si>
  <si>
    <t>Цахилгаан, ӨТ-ДГ</t>
  </si>
  <si>
    <t>Цахиллгаан, ӨТ дип-диполь</t>
  </si>
  <si>
    <t>Геофизикийн дүн  (34-39)</t>
  </si>
  <si>
    <t>Хээрийн ажлын дүн (5-39)</t>
  </si>
  <si>
    <t>Хээрийн нэмэгдэл (Томилолт)</t>
  </si>
  <si>
    <t>Тайлангийн зураг зурах, хэвлэх</t>
  </si>
  <si>
    <t>зураг</t>
  </si>
  <si>
    <t>Дүн (40-43)</t>
  </si>
  <si>
    <t>Хүн тээвэр (Ланд круйзер-105)</t>
  </si>
  <si>
    <t>Хүн тээвэр (УАЗ-фургон)</t>
  </si>
  <si>
    <t>Үйлд.тээвэр (УАЗ-фургон)</t>
  </si>
  <si>
    <t>Үйлд.тээвэр (Ланд круйзер-105)</t>
  </si>
  <si>
    <t>Ачаа.тээвэр (Хино ренжер-том)</t>
  </si>
  <si>
    <t>Ачаа.тээвэр (Хино ренжер-жижиг)</t>
  </si>
  <si>
    <t>Тээврийн дүн (44-49)</t>
  </si>
  <si>
    <t>Автомашины татвар (УАЗ-фургон)</t>
  </si>
  <si>
    <t>Автомашины татвар (Ланд-105)</t>
  </si>
  <si>
    <t>Автомашины татвар (Ренжер)</t>
  </si>
  <si>
    <t>Дүн (50-53)</t>
  </si>
  <si>
    <t>Өөрийн хүчний дүн (1-53)</t>
  </si>
  <si>
    <t>Эрдсийн бүрэн шинжилгээ</t>
  </si>
  <si>
    <t>Эрдсийн хураангуй шинжилгээ</t>
  </si>
  <si>
    <t>Циркон ялгах</t>
  </si>
  <si>
    <t>Рентген дифрактометрийн чанарын</t>
  </si>
  <si>
    <t>Эрдсийн шинжилгээний дүн(54-57)</t>
  </si>
  <si>
    <t>Микро фото зураг</t>
  </si>
  <si>
    <t>Минераграфи хураангуй</t>
  </si>
  <si>
    <t>Аншлиф бэлтгэх</t>
  </si>
  <si>
    <t>Петрографийн дүн (58-62)</t>
  </si>
  <si>
    <t>ICP 50 элемэнтээр/2 хүчлийн/</t>
  </si>
  <si>
    <t>ICP 33 элемэнтээр/4 хүчлийн/</t>
  </si>
  <si>
    <t>ICP 54 элемэнтээр/Натрийн хэт исэл/</t>
  </si>
  <si>
    <t>ICP 80T/Усны ховор элемент/</t>
  </si>
  <si>
    <t>Усны хими</t>
  </si>
  <si>
    <t>Химийн дүн</t>
  </si>
  <si>
    <t>Алт пробир</t>
  </si>
  <si>
    <t>Алт (AAC)</t>
  </si>
  <si>
    <t>Молибден, спектрофотометр</t>
  </si>
  <si>
    <t>Мөнгө (Ag,Cd,Sb) (ААС)</t>
  </si>
  <si>
    <t>Зэс (Cu, Pb, Zn) (ААС)</t>
  </si>
  <si>
    <t>Вольфрам, спектрофотометр</t>
  </si>
  <si>
    <t>Сурьма, мъшяк (Sb, As) спектрофотометр</t>
  </si>
  <si>
    <t>Кальцийн фторит CaF2</t>
  </si>
  <si>
    <t>Ta-Nb спектрофотометр</t>
  </si>
  <si>
    <t>Төмөр (Нийт Гост)</t>
  </si>
  <si>
    <t>Цагаантугалга</t>
  </si>
  <si>
    <t>Нүүрс</t>
  </si>
  <si>
    <t>Рентген флюорсценци</t>
  </si>
  <si>
    <t>Химийн шинжилгээний дүн (63-81)</t>
  </si>
  <si>
    <t>Бутлах</t>
  </si>
  <si>
    <t>3.5-10 кг</t>
  </si>
  <si>
    <t>3.5 кг хүртэл жинтэй</t>
  </si>
  <si>
    <t>500 гр хүртэл геохими дээж</t>
  </si>
  <si>
    <t>Буталгааны дүн (82-84)</t>
  </si>
  <si>
    <t>ХБАМ</t>
  </si>
  <si>
    <t xml:space="preserve">элс </t>
  </si>
  <si>
    <t>хайрга, дайрга</t>
  </si>
  <si>
    <t>шавар</t>
  </si>
  <si>
    <t>өнгөлгөөний чулуу</t>
  </si>
  <si>
    <t>ХБАМ-ын дүн (85-88)</t>
  </si>
  <si>
    <t>Үнэмлэхүй насны шинжилгээ</t>
  </si>
  <si>
    <t>Үр тоосонцорын шинжилгээ</t>
  </si>
  <si>
    <t>Бусад лабораторийн дүн (89-92)</t>
  </si>
  <si>
    <t xml:space="preserve">Лабораторийн ажлын дүн (54-92) </t>
  </si>
  <si>
    <t>ГМТ тайлан үзэх</t>
  </si>
  <si>
    <t>төг</t>
  </si>
  <si>
    <t>Оффис түрээс</t>
  </si>
  <si>
    <t>Сар</t>
  </si>
  <si>
    <t>Дүн (93-94)</t>
  </si>
  <si>
    <t>Гадны байгууллагын дүн</t>
  </si>
  <si>
    <t>БҮГД</t>
  </si>
  <si>
    <t>Магадлашгүй зардал</t>
  </si>
  <si>
    <t>НИЙТ ДҮН</t>
  </si>
  <si>
    <t>НӨАТ</t>
  </si>
  <si>
    <t>ТӨСВИЙН ДҮН</t>
  </si>
  <si>
    <t>Шурфийн шлих</t>
  </si>
  <si>
    <t>Соронзон (эрлийн)</t>
  </si>
  <si>
    <t>Радиометр (эрлийн)</t>
  </si>
  <si>
    <t>Цахилгаан, ӨТ дип-диполь</t>
  </si>
  <si>
    <t>2023 оны 01 дугаар сарын 01-нээс 01 дугаар сарын 31-ний өдөр хүртэл</t>
  </si>
  <si>
    <t>Рентген дифрактометрийн чанар</t>
  </si>
  <si>
    <t>ICP 54 элемент (Натрийн хэт исэл)</t>
  </si>
  <si>
    <t>ICP 80Т (Усны ховор элемент)</t>
  </si>
  <si>
    <t>Мөнгө (Ag, Cd, Sb) (AAC)</t>
  </si>
  <si>
    <t>Зэс (Cu, Pb, Zn) (AAC)</t>
  </si>
  <si>
    <t>Төмөр (Нийт гост)</t>
  </si>
  <si>
    <t>Цагаан тугалга</t>
  </si>
  <si>
    <t>Уул уурхай, хүнд үйлдвэрийн сайдын</t>
  </si>
  <si>
    <t>2022 оны А/87 дугаар тушаалын</t>
  </si>
  <si>
    <t>6 дугаар хавсралт</t>
  </si>
  <si>
    <t>2024 ОНЫ 01-Р САРЫН АЖЛЫН ГҮЙЦЭТГЭЛ</t>
  </si>
  <si>
    <t>/Б.Мөнхтөр/</t>
  </si>
  <si>
    <t>Үндэсний геологийн албаны ЗУХ-ийн УТСГХ ажилтан</t>
  </si>
  <si>
    <t>/Т.Цэрэндулам/</t>
  </si>
  <si>
    <t>Үндэсний геологийн албаны даргын албан тушаалыг түр орлон гүйцэтгэгч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</si>
</sst>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_);_(@_)"/>
    <numFmt numFmtId="169" formatCode="#,##0.0000000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Cambria"/>
      <family val="1"/>
      <scheme val="major"/>
    </font>
    <font>
      <i/>
      <sz val="8"/>
      <color theme="1"/>
      <name val="Times New Roman"/>
      <family val="1"/>
    </font>
    <font>
      <b/>
      <sz val="8"/>
      <color theme="6" tint="-0.499984740745262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Cambria"/>
      <family val="2"/>
      <scheme val="major"/>
    </font>
    <font>
      <b/>
      <sz val="8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7" fillId="0" borderId="0" xfId="0" applyFont="1"/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3" fontId="0" fillId="0" borderId="0" xfId="0" applyNumberFormat="1"/>
    <xf numFmtId="0" fontId="0" fillId="0" borderId="3" xfId="0" applyBorder="1"/>
    <xf numFmtId="166" fontId="8" fillId="0" borderId="3" xfId="7" applyNumberFormat="1" applyFont="1" applyBorder="1" applyAlignment="1">
      <alignment horizontal="right" vertical="center"/>
    </xf>
    <xf numFmtId="166" fontId="0" fillId="0" borderId="0" xfId="7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67" fontId="8" fillId="0" borderId="3" xfId="0" applyNumberFormat="1" applyFont="1" applyBorder="1" applyAlignment="1">
      <alignment horizontal="right" vertical="center"/>
    </xf>
    <xf numFmtId="166" fontId="8" fillId="0" borderId="3" xfId="0" applyNumberFormat="1" applyFont="1" applyBorder="1" applyAlignment="1">
      <alignment horizontal="right" vertical="center"/>
    </xf>
    <xf numFmtId="168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3" fontId="14" fillId="3" borderId="3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167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right" vertical="center"/>
    </xf>
    <xf numFmtId="0" fontId="11" fillId="0" borderId="3" xfId="0" applyFont="1" applyBorder="1"/>
    <xf numFmtId="0" fontId="14" fillId="3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1" fillId="0" borderId="0" xfId="0" applyNumberFormat="1" applyFont="1"/>
    <xf numFmtId="0" fontId="11" fillId="0" borderId="3" xfId="0" applyFont="1" applyBorder="1" applyAlignment="1">
      <alignment horizontal="center"/>
    </xf>
    <xf numFmtId="3" fontId="1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6" fillId="0" borderId="0" xfId="8" applyFont="1"/>
    <xf numFmtId="0" fontId="17" fillId="0" borderId="0" xfId="8" applyFont="1"/>
    <xf numFmtId="0" fontId="15" fillId="0" borderId="0" xfId="8" applyFont="1"/>
    <xf numFmtId="3" fontId="18" fillId="5" borderId="3" xfId="8" applyNumberFormat="1" applyFont="1" applyFill="1" applyBorder="1" applyAlignment="1">
      <alignment horizontal="center" vertical="center" wrapText="1"/>
    </xf>
    <xf numFmtId="3" fontId="18" fillId="5" borderId="3" xfId="9" applyNumberFormat="1" applyFont="1" applyFill="1" applyBorder="1" applyAlignment="1">
      <alignment horizontal="center" vertical="center" wrapText="1"/>
    </xf>
    <xf numFmtId="3" fontId="15" fillId="6" borderId="3" xfId="8" applyNumberFormat="1" applyFont="1" applyFill="1" applyBorder="1" applyAlignment="1">
      <alignment horizontal="center" vertical="center"/>
    </xf>
    <xf numFmtId="3" fontId="15" fillId="6" borderId="3" xfId="9" applyNumberFormat="1" applyFont="1" applyFill="1" applyBorder="1" applyAlignment="1">
      <alignment horizontal="center" vertical="center"/>
    </xf>
    <xf numFmtId="3" fontId="15" fillId="0" borderId="3" xfId="8" applyNumberFormat="1" applyFont="1" applyBorder="1" applyAlignment="1">
      <alignment horizontal="center"/>
    </xf>
    <xf numFmtId="3" fontId="15" fillId="0" borderId="3" xfId="8" applyNumberFormat="1" applyFont="1" applyBorder="1" applyAlignment="1">
      <alignment horizontal="right"/>
    </xf>
    <xf numFmtId="0" fontId="15" fillId="0" borderId="3" xfId="8" applyFont="1" applyBorder="1"/>
    <xf numFmtId="3" fontId="19" fillId="6" borderId="3" xfId="8" applyNumberFormat="1" applyFont="1" applyFill="1" applyBorder="1" applyAlignment="1">
      <alignment horizontal="center"/>
    </xf>
    <xf numFmtId="3" fontId="19" fillId="6" borderId="3" xfId="8" applyNumberFormat="1" applyFont="1" applyFill="1" applyBorder="1" applyAlignment="1">
      <alignment horizontal="right"/>
    </xf>
    <xf numFmtId="3" fontId="15" fillId="6" borderId="3" xfId="8" applyNumberFormat="1" applyFont="1" applyFill="1" applyBorder="1"/>
    <xf numFmtId="4" fontId="15" fillId="0" borderId="3" xfId="8" applyNumberFormat="1" applyFont="1" applyBorder="1"/>
    <xf numFmtId="3" fontId="19" fillId="5" borderId="3" xfId="8" applyNumberFormat="1" applyFont="1" applyFill="1" applyBorder="1" applyAlignment="1">
      <alignment horizontal="center"/>
    </xf>
    <xf numFmtId="3" fontId="19" fillId="5" borderId="3" xfId="8" applyNumberFormat="1" applyFont="1" applyFill="1" applyBorder="1" applyAlignment="1">
      <alignment horizontal="right"/>
    </xf>
    <xf numFmtId="3" fontId="15" fillId="5" borderId="3" xfId="8" applyNumberFormat="1" applyFont="1" applyFill="1" applyBorder="1"/>
    <xf numFmtId="3" fontId="21" fillId="0" borderId="3" xfId="8" applyNumberFormat="1" applyFont="1" applyBorder="1" applyAlignment="1">
      <alignment horizontal="right"/>
    </xf>
    <xf numFmtId="3" fontId="22" fillId="6" borderId="3" xfId="8" applyNumberFormat="1" applyFont="1" applyFill="1" applyBorder="1" applyAlignment="1">
      <alignment horizontal="right"/>
    </xf>
    <xf numFmtId="3" fontId="16" fillId="0" borderId="0" xfId="8" applyNumberFormat="1" applyFont="1"/>
    <xf numFmtId="166" fontId="23" fillId="0" borderId="0" xfId="9" applyNumberFormat="1" applyFont="1"/>
    <xf numFmtId="3" fontId="15" fillId="0" borderId="3" xfId="8" applyNumberFormat="1" applyFont="1" applyBorder="1" applyAlignment="1">
      <alignment horizontal="left"/>
    </xf>
    <xf numFmtId="43" fontId="16" fillId="0" borderId="0" xfId="8" applyNumberFormat="1" applyFont="1"/>
    <xf numFmtId="167" fontId="15" fillId="0" borderId="3" xfId="8" applyNumberFormat="1" applyFont="1" applyBorder="1" applyAlignment="1">
      <alignment horizontal="right"/>
    </xf>
    <xf numFmtId="3" fontId="24" fillId="5" borderId="3" xfId="8" applyNumberFormat="1" applyFont="1" applyFill="1" applyBorder="1" applyAlignment="1">
      <alignment horizontal="center"/>
    </xf>
    <xf numFmtId="3" fontId="24" fillId="5" borderId="3" xfId="8" applyNumberFormat="1" applyFont="1" applyFill="1" applyBorder="1" applyAlignment="1">
      <alignment horizontal="right"/>
    </xf>
    <xf numFmtId="0" fontId="16" fillId="0" borderId="0" xfId="8" applyFont="1" applyAlignment="1">
      <alignment vertical="center" wrapText="1"/>
    </xf>
    <xf numFmtId="0" fontId="15" fillId="0" borderId="0" xfId="8" applyFont="1" applyAlignment="1">
      <alignment horizontal="right"/>
    </xf>
    <xf numFmtId="169" fontId="16" fillId="0" borderId="0" xfId="8" applyNumberFormat="1" applyFont="1"/>
    <xf numFmtId="0" fontId="11" fillId="0" borderId="0" xfId="8" applyFont="1" applyAlignment="1">
      <alignment horizontal="center"/>
    </xf>
    <xf numFmtId="0" fontId="12" fillId="0" borderId="0" xfId="8" applyFont="1"/>
    <xf numFmtId="0" fontId="11" fillId="0" borderId="0" xfId="8" applyFont="1"/>
    <xf numFmtId="0" fontId="16" fillId="0" borderId="0" xfId="8" applyFont="1" applyAlignment="1">
      <alignment vertical="center"/>
    </xf>
    <xf numFmtId="0" fontId="11" fillId="0" borderId="0" xfId="8" applyFont="1" applyAlignment="1">
      <alignment horizontal="left"/>
    </xf>
    <xf numFmtId="3" fontId="1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8" applyFont="1" applyAlignment="1">
      <alignment horizontal="left"/>
    </xf>
    <xf numFmtId="3" fontId="19" fillId="5" borderId="3" xfId="8" applyNumberFormat="1" applyFont="1" applyFill="1" applyBorder="1" applyAlignment="1">
      <alignment horizontal="center"/>
    </xf>
    <xf numFmtId="3" fontId="15" fillId="0" borderId="3" xfId="8" applyNumberFormat="1" applyFont="1" applyBorder="1" applyAlignment="1">
      <alignment horizontal="left"/>
    </xf>
    <xf numFmtId="3" fontId="24" fillId="5" borderId="3" xfId="8" applyNumberFormat="1" applyFont="1" applyFill="1" applyBorder="1" applyAlignment="1">
      <alignment horizontal="center"/>
    </xf>
    <xf numFmtId="3" fontId="19" fillId="6" borderId="3" xfId="8" applyNumberFormat="1" applyFont="1" applyFill="1" applyBorder="1" applyAlignment="1">
      <alignment horizontal="center"/>
    </xf>
    <xf numFmtId="3" fontId="15" fillId="0" borderId="3" xfId="8" applyNumberFormat="1" applyFont="1" applyBorder="1" applyAlignment="1">
      <alignment horizontal="center" vertical="center" textRotation="90" wrapText="1"/>
    </xf>
    <xf numFmtId="3" fontId="15" fillId="0" borderId="3" xfId="8" applyNumberFormat="1" applyFont="1" applyBorder="1" applyAlignment="1">
      <alignment horizontal="left" vertical="center" textRotation="90" wrapText="1"/>
    </xf>
    <xf numFmtId="3" fontId="15" fillId="0" borderId="3" xfId="8" applyNumberFormat="1" applyFont="1" applyBorder="1"/>
    <xf numFmtId="3" fontId="19" fillId="6" borderId="3" xfId="8" applyNumberFormat="1" applyFont="1" applyFill="1" applyBorder="1" applyAlignment="1">
      <alignment horizontal="left"/>
    </xf>
    <xf numFmtId="3" fontId="15" fillId="6" borderId="3" xfId="8" applyNumberFormat="1" applyFont="1" applyFill="1" applyBorder="1" applyAlignment="1">
      <alignment horizontal="center" vertical="center"/>
    </xf>
    <xf numFmtId="3" fontId="18" fillId="5" borderId="3" xfId="8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</cellXfs>
  <cellStyles count="10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 5" xfId="9" xr:uid="{EA3BE832-FC33-4CA1-B18A-ACD7EC5AF81A}"/>
    <cellStyle name="Normal" xfId="0" builtinId="0"/>
    <cellStyle name="Normal 2" xfId="3" xr:uid="{00000000-0005-0000-0000-000006000000}"/>
    <cellStyle name="Normal 3" xfId="2" xr:uid="{00000000-0005-0000-0000-000007000000}"/>
    <cellStyle name="Normal 4" xfId="8" xr:uid="{D7C94FFF-D219-4965-883D-72E7FDAAA223}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88"/>
  <sheetViews>
    <sheetView topLeftCell="A61" workbookViewId="0">
      <selection activeCell="M17" sqref="M17"/>
    </sheetView>
  </sheetViews>
  <sheetFormatPr defaultColWidth="9" defaultRowHeight="14.25"/>
  <cols>
    <col min="1" max="1" width="3.875" style="22" bestFit="1" customWidth="1"/>
    <col min="2" max="2" width="35" customWidth="1"/>
    <col min="3" max="3" width="7.125" customWidth="1"/>
    <col min="4" max="4" width="8.875" customWidth="1"/>
    <col min="5" max="5" width="6.25" hidden="1" customWidth="1"/>
    <col min="6" max="8" width="11.125" hidden="1" customWidth="1"/>
    <col min="9" max="10" width="11.125" customWidth="1"/>
    <col min="11" max="11" width="8.25" customWidth="1"/>
    <col min="12" max="12" width="11.125" customWidth="1"/>
    <col min="13" max="13" width="14" customWidth="1"/>
  </cols>
  <sheetData>
    <row r="2" spans="1:12">
      <c r="A2" s="105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>
      <c r="A3" s="105" t="s">
        <v>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>
      <c r="A4" s="105" t="s">
        <v>66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8" spans="1:12" ht="15">
      <c r="B8" s="106" t="s">
        <v>71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ht="7.5" customHeight="1">
      <c r="B9" s="1"/>
      <c r="C9" s="1"/>
      <c r="D9" s="1"/>
      <c r="E9" s="1"/>
      <c r="F9" s="1"/>
      <c r="G9" s="1"/>
      <c r="H9" s="1"/>
      <c r="I9" s="1"/>
      <c r="J9" s="1"/>
    </row>
    <row r="10" spans="1:12" ht="15">
      <c r="B10" s="106" t="s">
        <v>117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2" ht="15">
      <c r="B11" s="23"/>
      <c r="C11" s="23"/>
      <c r="D11" s="23"/>
      <c r="E11" s="23"/>
      <c r="F11" s="23"/>
      <c r="G11" s="23"/>
      <c r="H11" s="23"/>
      <c r="I11" s="23"/>
      <c r="J11" s="23"/>
    </row>
    <row r="12" spans="1:12" ht="15">
      <c r="B12" s="23"/>
      <c r="C12" s="23"/>
      <c r="D12" s="23"/>
      <c r="E12" s="23"/>
      <c r="F12" s="23"/>
      <c r="G12" s="23"/>
      <c r="H12" s="23"/>
      <c r="I12" s="23"/>
      <c r="J12" s="23"/>
    </row>
    <row r="13" spans="1:12">
      <c r="A13" s="105" t="s">
        <v>118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>
      <c r="A15" s="105" t="s">
        <v>81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</row>
    <row r="16" spans="1:12">
      <c r="A16" s="22" t="s">
        <v>80</v>
      </c>
    </row>
    <row r="17" spans="1:13" ht="41.45" customHeight="1">
      <c r="A17" s="107" t="s">
        <v>49</v>
      </c>
      <c r="B17" s="107" t="s">
        <v>8</v>
      </c>
      <c r="C17" s="108" t="s">
        <v>45</v>
      </c>
      <c r="D17" s="108" t="s">
        <v>46</v>
      </c>
      <c r="E17" s="110" t="s">
        <v>115</v>
      </c>
      <c r="F17" s="110"/>
      <c r="G17" s="111" t="s">
        <v>116</v>
      </c>
      <c r="H17" s="112"/>
      <c r="I17" s="110" t="s">
        <v>115</v>
      </c>
      <c r="J17" s="110"/>
      <c r="K17" s="110" t="s">
        <v>48</v>
      </c>
      <c r="L17" s="110"/>
    </row>
    <row r="18" spans="1:13">
      <c r="A18" s="107"/>
      <c r="B18" s="107"/>
      <c r="C18" s="109"/>
      <c r="D18" s="109"/>
      <c r="E18" s="26" t="s">
        <v>9</v>
      </c>
      <c r="F18" s="26" t="s">
        <v>0</v>
      </c>
      <c r="G18" s="26" t="s">
        <v>9</v>
      </c>
      <c r="H18" s="26" t="s">
        <v>0</v>
      </c>
      <c r="I18" s="26" t="s">
        <v>9</v>
      </c>
      <c r="J18" s="26" t="s">
        <v>0</v>
      </c>
      <c r="K18" s="26" t="s">
        <v>9</v>
      </c>
      <c r="L18" s="26" t="s">
        <v>0</v>
      </c>
    </row>
    <row r="19" spans="1:13">
      <c r="A19" s="26">
        <v>0</v>
      </c>
      <c r="B19" s="26">
        <v>1</v>
      </c>
      <c r="C19" s="25">
        <v>2</v>
      </c>
      <c r="D19" s="25">
        <v>3</v>
      </c>
      <c r="E19" s="26">
        <v>4</v>
      </c>
      <c r="F19" s="26">
        <v>5</v>
      </c>
      <c r="G19" s="26"/>
      <c r="H19" s="26"/>
      <c r="I19" s="26">
        <v>4</v>
      </c>
      <c r="J19" s="26">
        <v>5</v>
      </c>
      <c r="K19" s="26">
        <v>6</v>
      </c>
      <c r="L19" s="26">
        <v>7</v>
      </c>
    </row>
    <row r="20" spans="1:13">
      <c r="A20" s="14">
        <v>1</v>
      </c>
      <c r="B20" s="2" t="s">
        <v>5</v>
      </c>
      <c r="C20" s="14" t="s">
        <v>72</v>
      </c>
      <c r="D20" s="3">
        <v>56000</v>
      </c>
      <c r="E20" s="4"/>
      <c r="F20" s="3">
        <f>+E20*D20</f>
        <v>0</v>
      </c>
      <c r="G20" s="3"/>
      <c r="H20" s="3">
        <f>+G20*F20</f>
        <v>0</v>
      </c>
      <c r="I20" s="3">
        <f>E20+G20</f>
        <v>0</v>
      </c>
      <c r="J20" s="3">
        <f>F20+H20</f>
        <v>0</v>
      </c>
      <c r="K20" s="4">
        <v>128</v>
      </c>
      <c r="L20" s="3">
        <v>7168000</v>
      </c>
    </row>
    <row r="21" spans="1:13">
      <c r="A21" s="14">
        <v>2</v>
      </c>
      <c r="B21" s="2" t="s">
        <v>10</v>
      </c>
      <c r="C21" s="14" t="s">
        <v>73</v>
      </c>
      <c r="D21" s="3">
        <v>49000</v>
      </c>
      <c r="E21" s="4"/>
      <c r="F21" s="3">
        <f t="shared" ref="F21:H23" si="0">+E21*D21</f>
        <v>0</v>
      </c>
      <c r="G21" s="3"/>
      <c r="H21" s="3">
        <f t="shared" si="0"/>
        <v>0</v>
      </c>
      <c r="I21" s="3">
        <f t="shared" ref="I21:I23" si="1">E21+G21</f>
        <v>0</v>
      </c>
      <c r="J21" s="3">
        <f t="shared" ref="J21:J23" si="2">F21+H21</f>
        <v>0</v>
      </c>
      <c r="K21" s="4">
        <v>40</v>
      </c>
      <c r="L21" s="3">
        <v>1960000</v>
      </c>
    </row>
    <row r="22" spans="1:13">
      <c r="A22" s="14">
        <v>3</v>
      </c>
      <c r="B22" s="2" t="s">
        <v>3</v>
      </c>
      <c r="C22" s="14" t="s">
        <v>72</v>
      </c>
      <c r="D22" s="3">
        <v>79600</v>
      </c>
      <c r="E22" s="4"/>
      <c r="F22" s="3">
        <f t="shared" si="0"/>
        <v>0</v>
      </c>
      <c r="G22" s="3"/>
      <c r="H22" s="3">
        <f t="shared" si="0"/>
        <v>0</v>
      </c>
      <c r="I22" s="3">
        <f t="shared" si="1"/>
        <v>0</v>
      </c>
      <c r="J22" s="3">
        <f t="shared" si="2"/>
        <v>0</v>
      </c>
      <c r="K22" s="4">
        <v>103</v>
      </c>
      <c r="L22" s="3">
        <v>8198800</v>
      </c>
    </row>
    <row r="23" spans="1:13">
      <c r="A23" s="14">
        <v>4</v>
      </c>
      <c r="B23" s="2" t="s">
        <v>74</v>
      </c>
      <c r="C23" s="14" t="s">
        <v>72</v>
      </c>
      <c r="D23" s="3">
        <v>58500</v>
      </c>
      <c r="E23" s="4"/>
      <c r="F23" s="3">
        <f t="shared" si="0"/>
        <v>0</v>
      </c>
      <c r="G23" s="3"/>
      <c r="H23" s="3">
        <f t="shared" si="0"/>
        <v>0</v>
      </c>
      <c r="I23" s="3">
        <f t="shared" si="1"/>
        <v>0</v>
      </c>
      <c r="J23" s="3">
        <f t="shared" si="2"/>
        <v>0</v>
      </c>
      <c r="K23" s="4">
        <v>61</v>
      </c>
      <c r="L23" s="3">
        <v>3568500</v>
      </c>
    </row>
    <row r="24" spans="1:13" ht="15">
      <c r="A24" s="5" t="s">
        <v>26</v>
      </c>
      <c r="B24" s="6" t="s">
        <v>54</v>
      </c>
      <c r="C24" s="5"/>
      <c r="D24" s="7"/>
      <c r="E24" s="8"/>
      <c r="F24" s="7">
        <f>SUM(F20:F23)</f>
        <v>0</v>
      </c>
      <c r="G24" s="7"/>
      <c r="H24" s="7">
        <f>SUM(H20:H23)</f>
        <v>0</v>
      </c>
      <c r="I24" s="7">
        <f>E24+G24</f>
        <v>0</v>
      </c>
      <c r="J24" s="7">
        <f>F24+H24</f>
        <v>0</v>
      </c>
      <c r="K24" s="8"/>
      <c r="L24" s="7">
        <v>20895300</v>
      </c>
    </row>
    <row r="25" spans="1:13">
      <c r="A25" s="14">
        <v>5</v>
      </c>
      <c r="B25" s="2" t="s">
        <v>25</v>
      </c>
      <c r="C25" s="14" t="s">
        <v>75</v>
      </c>
      <c r="D25" s="3">
        <v>48600</v>
      </c>
      <c r="E25" s="4"/>
      <c r="F25" s="3">
        <f>D25*E25</f>
        <v>0</v>
      </c>
      <c r="G25" s="3">
        <v>55</v>
      </c>
      <c r="H25" s="3">
        <f>D25*G25</f>
        <v>2673000</v>
      </c>
      <c r="I25" s="3">
        <f>E25+G25</f>
        <v>55</v>
      </c>
      <c r="J25" s="3">
        <f>F25+H25</f>
        <v>2673000</v>
      </c>
      <c r="K25" s="3">
        <v>405</v>
      </c>
      <c r="L25" s="3">
        <v>19683000</v>
      </c>
    </row>
    <row r="26" spans="1:13">
      <c r="A26" s="14">
        <v>6</v>
      </c>
      <c r="B26" s="2" t="s">
        <v>11</v>
      </c>
      <c r="C26" s="14" t="s">
        <v>76</v>
      </c>
      <c r="D26" s="3">
        <v>34000</v>
      </c>
      <c r="E26" s="4"/>
      <c r="F26" s="3">
        <f>E26*D26</f>
        <v>0</v>
      </c>
      <c r="G26" s="3"/>
      <c r="H26" s="3">
        <f>G26*F26</f>
        <v>0</v>
      </c>
      <c r="I26" s="3">
        <f t="shared" ref="I26:I28" si="3">E26+G26</f>
        <v>0</v>
      </c>
      <c r="J26" s="3">
        <f t="shared" ref="J26:J28" si="4">F26+H26</f>
        <v>0</v>
      </c>
      <c r="K26" s="4">
        <v>260</v>
      </c>
      <c r="L26" s="3">
        <v>8840000</v>
      </c>
    </row>
    <row r="27" spans="1:13">
      <c r="A27" s="14">
        <v>7</v>
      </c>
      <c r="B27" s="2" t="s">
        <v>4</v>
      </c>
      <c r="C27" s="14" t="s">
        <v>76</v>
      </c>
      <c r="D27" s="3">
        <v>41000</v>
      </c>
      <c r="E27" s="4"/>
      <c r="F27" s="3">
        <f>+E27*D27</f>
        <v>0</v>
      </c>
      <c r="G27" s="3">
        <v>31</v>
      </c>
      <c r="H27" s="3">
        <f>D27*G27</f>
        <v>1271000</v>
      </c>
      <c r="I27" s="3">
        <f t="shared" si="3"/>
        <v>31</v>
      </c>
      <c r="J27" s="3">
        <f t="shared" si="4"/>
        <v>1271000</v>
      </c>
      <c r="K27" s="3">
        <v>51</v>
      </c>
      <c r="L27" s="3">
        <v>2091000</v>
      </c>
    </row>
    <row r="28" spans="1:13">
      <c r="A28" s="14">
        <v>8</v>
      </c>
      <c r="B28" s="2" t="s">
        <v>12</v>
      </c>
      <c r="C28" s="14" t="s">
        <v>77</v>
      </c>
      <c r="D28" s="3">
        <v>19900</v>
      </c>
      <c r="E28" s="4"/>
      <c r="F28" s="3">
        <f>+E28*D28</f>
        <v>0</v>
      </c>
      <c r="G28" s="3">
        <v>827</v>
      </c>
      <c r="H28" s="3">
        <f>G28*D28</f>
        <v>16457300</v>
      </c>
      <c r="I28" s="3">
        <f t="shared" si="3"/>
        <v>827</v>
      </c>
      <c r="J28" s="3">
        <f t="shared" si="4"/>
        <v>16457300</v>
      </c>
      <c r="K28" s="3">
        <v>1862</v>
      </c>
      <c r="L28" s="3">
        <v>37053800</v>
      </c>
      <c r="M28" s="17"/>
    </row>
    <row r="29" spans="1:13">
      <c r="A29" s="14">
        <v>9</v>
      </c>
      <c r="B29" s="9" t="s">
        <v>101</v>
      </c>
      <c r="C29" s="14"/>
      <c r="D29" s="3"/>
      <c r="E29" s="3"/>
      <c r="F29" s="3"/>
      <c r="G29" s="3"/>
      <c r="H29" s="3"/>
      <c r="I29" s="3">
        <f>E29+G29</f>
        <v>0</v>
      </c>
      <c r="J29" s="3">
        <f>F29+H29</f>
        <v>0</v>
      </c>
      <c r="K29" s="3"/>
      <c r="L29" s="3"/>
    </row>
    <row r="30" spans="1:13">
      <c r="A30" s="14">
        <v>10</v>
      </c>
      <c r="B30" s="2" t="s">
        <v>13</v>
      </c>
      <c r="C30" s="14" t="s">
        <v>77</v>
      </c>
      <c r="D30" s="3">
        <v>4250</v>
      </c>
      <c r="E30" s="4"/>
      <c r="F30" s="3">
        <f>D30*E30</f>
        <v>0</v>
      </c>
      <c r="G30" s="3"/>
      <c r="H30" s="3">
        <f>F30*G30</f>
        <v>0</v>
      </c>
      <c r="I30" s="3">
        <f t="shared" ref="I30:I31" si="5">E30+G30</f>
        <v>0</v>
      </c>
      <c r="J30" s="3">
        <f t="shared" ref="J30:J31" si="6">F30+H30</f>
        <v>0</v>
      </c>
      <c r="K30" s="4">
        <v>80</v>
      </c>
      <c r="L30" s="3">
        <v>340000</v>
      </c>
    </row>
    <row r="31" spans="1:13">
      <c r="A31" s="14">
        <v>11</v>
      </c>
      <c r="B31" s="2" t="s">
        <v>82</v>
      </c>
      <c r="C31" s="14" t="s">
        <v>77</v>
      </c>
      <c r="D31" s="3">
        <v>5850</v>
      </c>
      <c r="E31" s="4"/>
      <c r="F31" s="3">
        <f>D31*E31</f>
        <v>0</v>
      </c>
      <c r="G31" s="3">
        <v>827</v>
      </c>
      <c r="H31" s="3">
        <f>G31*D31</f>
        <v>4837950</v>
      </c>
      <c r="I31" s="3">
        <f t="shared" si="5"/>
        <v>827</v>
      </c>
      <c r="J31" s="3">
        <f t="shared" si="6"/>
        <v>4837950</v>
      </c>
      <c r="K31" s="3">
        <v>1862</v>
      </c>
      <c r="L31" s="3">
        <v>10892700</v>
      </c>
      <c r="M31" s="17"/>
    </row>
    <row r="32" spans="1:13" ht="15">
      <c r="A32" s="5" t="s">
        <v>27</v>
      </c>
      <c r="B32" s="6" t="s">
        <v>55</v>
      </c>
      <c r="C32" s="5"/>
      <c r="D32" s="7"/>
      <c r="E32" s="8"/>
      <c r="F32" s="7">
        <f>SUM(F25:F31)</f>
        <v>0</v>
      </c>
      <c r="G32" s="7"/>
      <c r="H32" s="7">
        <f>SUM(H25:H31)</f>
        <v>25239250</v>
      </c>
      <c r="I32" s="7"/>
      <c r="J32" s="7">
        <f>F32+H32</f>
        <v>25239250</v>
      </c>
      <c r="K32" s="8"/>
      <c r="L32" s="7">
        <v>78900500</v>
      </c>
      <c r="M32" s="17"/>
    </row>
    <row r="33" spans="1:13">
      <c r="A33" s="14">
        <v>12</v>
      </c>
      <c r="B33" s="2" t="s">
        <v>14</v>
      </c>
      <c r="C33" s="14"/>
      <c r="D33" s="3"/>
      <c r="E33" s="4"/>
      <c r="F33" s="3"/>
      <c r="G33" s="3"/>
      <c r="H33" s="3"/>
      <c r="I33" s="3">
        <f t="shared" ref="I33:I36" si="7">E33+G33</f>
        <v>0</v>
      </c>
      <c r="J33" s="3">
        <f t="shared" ref="J33:J36" si="8">F33+H33</f>
        <v>0</v>
      </c>
      <c r="K33" s="4"/>
      <c r="L33" s="3"/>
    </row>
    <row r="34" spans="1:13">
      <c r="A34" s="14">
        <v>13</v>
      </c>
      <c r="B34" s="2" t="s">
        <v>15</v>
      </c>
      <c r="C34" s="14"/>
      <c r="D34" s="3"/>
      <c r="E34" s="4"/>
      <c r="F34" s="3"/>
      <c r="G34" s="3"/>
      <c r="H34" s="3"/>
      <c r="I34" s="3">
        <f t="shared" si="7"/>
        <v>0</v>
      </c>
      <c r="J34" s="3">
        <f t="shared" si="8"/>
        <v>0</v>
      </c>
      <c r="K34" s="4"/>
      <c r="L34" s="3"/>
    </row>
    <row r="35" spans="1:13">
      <c r="A35" s="14">
        <v>14</v>
      </c>
      <c r="B35" s="2" t="s">
        <v>16</v>
      </c>
      <c r="C35" s="14" t="s">
        <v>78</v>
      </c>
      <c r="D35" s="3">
        <v>1200</v>
      </c>
      <c r="E35" s="4"/>
      <c r="F35" s="3">
        <f>D35*E35</f>
        <v>0</v>
      </c>
      <c r="G35" s="3">
        <v>827</v>
      </c>
      <c r="H35" s="3">
        <f>G35*D35</f>
        <v>992400</v>
      </c>
      <c r="I35" s="3">
        <f t="shared" si="7"/>
        <v>827</v>
      </c>
      <c r="J35" s="3">
        <f t="shared" si="8"/>
        <v>992400</v>
      </c>
      <c r="K35" s="3">
        <v>1862</v>
      </c>
      <c r="L35" s="3">
        <v>2234400</v>
      </c>
      <c r="M35" s="17"/>
    </row>
    <row r="36" spans="1:13">
      <c r="A36" s="14">
        <v>15</v>
      </c>
      <c r="B36" s="2" t="s">
        <v>17</v>
      </c>
      <c r="C36" s="14"/>
      <c r="D36" s="3"/>
      <c r="E36" s="4"/>
      <c r="F36" s="3"/>
      <c r="G36" s="3"/>
      <c r="H36" s="3"/>
      <c r="I36" s="3">
        <f t="shared" si="7"/>
        <v>0</v>
      </c>
      <c r="J36" s="3">
        <f t="shared" si="8"/>
        <v>0</v>
      </c>
      <c r="K36" s="4"/>
      <c r="L36" s="3"/>
    </row>
    <row r="37" spans="1:13" ht="15">
      <c r="A37" s="5" t="s">
        <v>28</v>
      </c>
      <c r="B37" s="6" t="s">
        <v>57</v>
      </c>
      <c r="C37" s="5"/>
      <c r="D37" s="7"/>
      <c r="E37" s="8"/>
      <c r="F37" s="7">
        <f>SUM(F33:F36)</f>
        <v>0</v>
      </c>
      <c r="G37" s="7"/>
      <c r="H37" s="7">
        <f>SUM(H33:H36)</f>
        <v>992400</v>
      </c>
      <c r="I37" s="7">
        <f>E37+G37</f>
        <v>0</v>
      </c>
      <c r="J37" s="7">
        <f>F37+H37</f>
        <v>992400</v>
      </c>
      <c r="K37" s="8"/>
      <c r="L37" s="7">
        <v>2234400</v>
      </c>
      <c r="M37" s="17"/>
    </row>
    <row r="38" spans="1:13">
      <c r="A38" s="14">
        <v>16</v>
      </c>
      <c r="B38" s="2" t="s">
        <v>90</v>
      </c>
      <c r="C38" s="14" t="s">
        <v>77</v>
      </c>
      <c r="D38" s="3">
        <v>6200</v>
      </c>
      <c r="E38" s="4"/>
      <c r="F38" s="3">
        <f>+E38*D38</f>
        <v>0</v>
      </c>
      <c r="G38" s="3"/>
      <c r="H38" s="3">
        <f>+G38*F38</f>
        <v>0</v>
      </c>
      <c r="I38" s="3">
        <f t="shared" ref="I38:I43" si="9">E38+G38</f>
        <v>0</v>
      </c>
      <c r="J38" s="3">
        <f t="shared" ref="J38:J43" si="10">F38+H38</f>
        <v>0</v>
      </c>
      <c r="K38" s="4">
        <v>51</v>
      </c>
      <c r="L38" s="3">
        <v>316200</v>
      </c>
    </row>
    <row r="39" spans="1:13">
      <c r="A39" s="14">
        <v>17</v>
      </c>
      <c r="B39" s="2" t="s">
        <v>89</v>
      </c>
      <c r="C39" s="14" t="s">
        <v>77</v>
      </c>
      <c r="D39" s="3">
        <v>6300</v>
      </c>
      <c r="E39" s="4"/>
      <c r="F39" s="3">
        <f>+E39*D39</f>
        <v>0</v>
      </c>
      <c r="G39" s="3"/>
      <c r="H39" s="3">
        <f>+G39*F39</f>
        <v>0</v>
      </c>
      <c r="I39" s="3">
        <f t="shared" si="9"/>
        <v>0</v>
      </c>
      <c r="J39" s="3">
        <f t="shared" si="10"/>
        <v>0</v>
      </c>
      <c r="K39" s="4">
        <v>75</v>
      </c>
      <c r="L39" s="3">
        <v>472500</v>
      </c>
    </row>
    <row r="40" spans="1:13">
      <c r="A40" s="14">
        <v>18</v>
      </c>
      <c r="B40" s="2" t="s">
        <v>18</v>
      </c>
      <c r="C40" s="14"/>
      <c r="D40" s="3"/>
      <c r="E40" s="4"/>
      <c r="F40" s="3"/>
      <c r="G40" s="3"/>
      <c r="H40" s="3"/>
      <c r="I40" s="3">
        <f t="shared" si="9"/>
        <v>0</v>
      </c>
      <c r="J40" s="3">
        <f t="shared" si="10"/>
        <v>0</v>
      </c>
      <c r="K40" s="4"/>
      <c r="L40" s="3"/>
    </row>
    <row r="41" spans="1:13">
      <c r="A41" s="14">
        <v>19</v>
      </c>
      <c r="B41" s="2" t="s">
        <v>19</v>
      </c>
      <c r="C41" s="14"/>
      <c r="D41" s="3"/>
      <c r="E41" s="4"/>
      <c r="F41" s="3"/>
      <c r="G41" s="3"/>
      <c r="H41" s="3"/>
      <c r="I41" s="3">
        <f t="shared" si="9"/>
        <v>0</v>
      </c>
      <c r="J41" s="3">
        <f t="shared" si="10"/>
        <v>0</v>
      </c>
      <c r="K41" s="4"/>
      <c r="L41" s="3"/>
    </row>
    <row r="42" spans="1:13">
      <c r="A42" s="14">
        <v>20</v>
      </c>
      <c r="B42" s="2" t="s">
        <v>56</v>
      </c>
      <c r="C42" s="14"/>
      <c r="D42" s="3"/>
      <c r="E42" s="4"/>
      <c r="F42" s="3"/>
      <c r="G42" s="3"/>
      <c r="H42" s="3"/>
      <c r="I42" s="3">
        <f t="shared" si="9"/>
        <v>0</v>
      </c>
      <c r="J42" s="3">
        <f t="shared" si="10"/>
        <v>0</v>
      </c>
      <c r="K42" s="4"/>
      <c r="L42" s="3"/>
    </row>
    <row r="43" spans="1:13">
      <c r="A43" s="14">
        <v>21</v>
      </c>
      <c r="B43" s="2" t="s">
        <v>91</v>
      </c>
      <c r="C43" s="14" t="s">
        <v>92</v>
      </c>
      <c r="D43" s="3">
        <v>58000</v>
      </c>
      <c r="E43" s="4"/>
      <c r="F43" s="3">
        <f>+E43*D43</f>
        <v>0</v>
      </c>
      <c r="G43" s="27">
        <v>19.8</v>
      </c>
      <c r="H43" s="3">
        <f>G43*D43</f>
        <v>1148400</v>
      </c>
      <c r="I43" s="3">
        <f t="shared" si="9"/>
        <v>19.8</v>
      </c>
      <c r="J43" s="3">
        <f t="shared" si="10"/>
        <v>1148400</v>
      </c>
      <c r="K43" s="27">
        <v>44.6</v>
      </c>
      <c r="L43" s="3">
        <v>2586800</v>
      </c>
    </row>
    <row r="44" spans="1:13" ht="15">
      <c r="A44" s="5" t="s">
        <v>29</v>
      </c>
      <c r="B44" s="6" t="s">
        <v>102</v>
      </c>
      <c r="C44" s="5"/>
      <c r="D44" s="7"/>
      <c r="E44" s="8"/>
      <c r="F44" s="7">
        <f>SUM(F38:F43)</f>
        <v>0</v>
      </c>
      <c r="G44" s="7"/>
      <c r="H44" s="7">
        <f>SUM(H38:H43)</f>
        <v>1148400</v>
      </c>
      <c r="I44" s="7"/>
      <c r="J44" s="7">
        <f>F44+H44</f>
        <v>1148400</v>
      </c>
      <c r="K44" s="8"/>
      <c r="L44" s="7">
        <v>3375500</v>
      </c>
    </row>
    <row r="45" spans="1:13">
      <c r="A45" s="14">
        <v>22</v>
      </c>
      <c r="B45" s="9" t="s">
        <v>93</v>
      </c>
      <c r="C45" s="14" t="s">
        <v>76</v>
      </c>
      <c r="D45" s="15">
        <v>15000</v>
      </c>
      <c r="E45" s="16"/>
      <c r="F45" s="15">
        <f>+E45*D45</f>
        <v>0</v>
      </c>
      <c r="G45" s="15">
        <v>223</v>
      </c>
      <c r="H45" s="3">
        <f>G45*D45</f>
        <v>3345000</v>
      </c>
      <c r="I45" s="3">
        <f t="shared" ref="I45:I46" si="11">E45+G45</f>
        <v>223</v>
      </c>
      <c r="J45" s="3">
        <f t="shared" ref="J45:J46" si="12">F45+H45</f>
        <v>3345000</v>
      </c>
      <c r="K45" s="15">
        <v>1813</v>
      </c>
      <c r="L45" s="15">
        <v>27195000</v>
      </c>
    </row>
    <row r="46" spans="1:13">
      <c r="A46" s="14">
        <v>23</v>
      </c>
      <c r="B46" s="9" t="s">
        <v>103</v>
      </c>
      <c r="C46" s="14" t="s">
        <v>76</v>
      </c>
      <c r="D46" s="15">
        <v>15000</v>
      </c>
      <c r="E46" s="16"/>
      <c r="F46" s="15">
        <f>E46*D46</f>
        <v>0</v>
      </c>
      <c r="G46" s="15">
        <v>188</v>
      </c>
      <c r="H46" s="3">
        <f>G46*D46</f>
        <v>2820000</v>
      </c>
      <c r="I46" s="3">
        <f t="shared" si="11"/>
        <v>188</v>
      </c>
      <c r="J46" s="3">
        <f t="shared" si="12"/>
        <v>2820000</v>
      </c>
      <c r="K46" s="15">
        <v>1778</v>
      </c>
      <c r="L46" s="15">
        <v>26670000</v>
      </c>
    </row>
    <row r="47" spans="1:13" ht="15">
      <c r="A47" s="5" t="s">
        <v>31</v>
      </c>
      <c r="B47" s="6" t="s">
        <v>59</v>
      </c>
      <c r="C47" s="5"/>
      <c r="D47" s="7"/>
      <c r="E47" s="8"/>
      <c r="F47" s="7">
        <f>SUM(F45:F46)</f>
        <v>0</v>
      </c>
      <c r="G47" s="7"/>
      <c r="H47" s="7">
        <f>SUM(H45:H46)</f>
        <v>6165000</v>
      </c>
      <c r="I47" s="7"/>
      <c r="J47" s="7">
        <f>F47+H47</f>
        <v>6165000</v>
      </c>
      <c r="K47" s="8"/>
      <c r="L47" s="7">
        <v>53865000</v>
      </c>
      <c r="M47" s="17"/>
    </row>
    <row r="48" spans="1:13" ht="15">
      <c r="A48" s="5" t="s">
        <v>32</v>
      </c>
      <c r="B48" s="6" t="s">
        <v>104</v>
      </c>
      <c r="C48" s="5"/>
      <c r="D48" s="7"/>
      <c r="E48" s="8"/>
      <c r="F48" s="7">
        <f>+F44+F37+F32+F47</f>
        <v>0</v>
      </c>
      <c r="G48" s="7"/>
      <c r="H48" s="7">
        <f>+H44+H37+H32+H47</f>
        <v>33545050</v>
      </c>
      <c r="I48" s="7"/>
      <c r="J48" s="7">
        <f>F48+H48</f>
        <v>33545050</v>
      </c>
      <c r="K48" s="8"/>
      <c r="L48" s="7">
        <v>138375400</v>
      </c>
    </row>
    <row r="49" spans="1:12">
      <c r="A49" s="14">
        <v>24</v>
      </c>
      <c r="B49" s="2" t="s">
        <v>20</v>
      </c>
      <c r="C49" s="14" t="s">
        <v>73</v>
      </c>
      <c r="D49" s="4">
        <v>50000</v>
      </c>
      <c r="E49" s="4"/>
      <c r="F49" s="3">
        <f>+E49*D49</f>
        <v>0</v>
      </c>
      <c r="G49" s="3"/>
      <c r="H49" s="3">
        <f>+G49*F49</f>
        <v>0</v>
      </c>
      <c r="I49" s="3">
        <f t="shared" ref="I49:I52" si="13">E49+G49</f>
        <v>0</v>
      </c>
      <c r="J49" s="3">
        <f t="shared" ref="J49:J52" si="14">F49+H49</f>
        <v>0</v>
      </c>
      <c r="K49" s="4">
        <v>40</v>
      </c>
      <c r="L49" s="3">
        <v>2000000</v>
      </c>
    </row>
    <row r="50" spans="1:12">
      <c r="A50" s="14">
        <v>25</v>
      </c>
      <c r="B50" s="2" t="s">
        <v>21</v>
      </c>
      <c r="C50" s="14" t="s">
        <v>73</v>
      </c>
      <c r="D50" s="4">
        <v>35000</v>
      </c>
      <c r="E50" s="4"/>
      <c r="F50" s="3">
        <f>+E50*D50</f>
        <v>0</v>
      </c>
      <c r="G50" s="3"/>
      <c r="H50" s="3">
        <f>+G50*F50</f>
        <v>0</v>
      </c>
      <c r="I50" s="3">
        <f t="shared" si="13"/>
        <v>0</v>
      </c>
      <c r="J50" s="3">
        <f t="shared" si="14"/>
        <v>0</v>
      </c>
      <c r="K50" s="4">
        <v>30</v>
      </c>
      <c r="L50" s="3">
        <v>1050000</v>
      </c>
    </row>
    <row r="51" spans="1:12">
      <c r="A51" s="14">
        <v>26</v>
      </c>
      <c r="B51" s="2" t="s">
        <v>100</v>
      </c>
      <c r="C51" s="14" t="s">
        <v>72</v>
      </c>
      <c r="D51" s="3">
        <v>17000</v>
      </c>
      <c r="E51" s="4"/>
      <c r="F51" s="3">
        <f>+E51*D51</f>
        <v>0</v>
      </c>
      <c r="G51" s="3"/>
      <c r="H51" s="3">
        <f>+G51*F51</f>
        <v>0</v>
      </c>
      <c r="I51" s="3">
        <f t="shared" si="13"/>
        <v>0</v>
      </c>
      <c r="J51" s="3">
        <f t="shared" si="14"/>
        <v>0</v>
      </c>
      <c r="K51" s="4">
        <v>950</v>
      </c>
      <c r="L51" s="3">
        <v>16150000</v>
      </c>
    </row>
    <row r="52" spans="1:12">
      <c r="A52" s="14">
        <v>27</v>
      </c>
      <c r="B52" s="10" t="s">
        <v>6</v>
      </c>
      <c r="C52" s="14" t="s">
        <v>72</v>
      </c>
      <c r="D52" s="3">
        <v>54800</v>
      </c>
      <c r="E52" s="4">
        <f>226+170</f>
        <v>396</v>
      </c>
      <c r="F52" s="3">
        <f>+E52*D52</f>
        <v>21700800</v>
      </c>
      <c r="G52" s="3"/>
      <c r="H52" s="3">
        <f>+G52*F52</f>
        <v>0</v>
      </c>
      <c r="I52" s="3">
        <f t="shared" si="13"/>
        <v>396</v>
      </c>
      <c r="J52" s="3">
        <f t="shared" si="14"/>
        <v>21700800</v>
      </c>
      <c r="K52" s="4">
        <v>396</v>
      </c>
      <c r="L52" s="3">
        <v>21700800</v>
      </c>
    </row>
    <row r="53" spans="1:12" ht="15">
      <c r="A53" s="5" t="s">
        <v>33</v>
      </c>
      <c r="B53" s="6" t="s">
        <v>0</v>
      </c>
      <c r="C53" s="11"/>
      <c r="D53" s="7"/>
      <c r="E53" s="8"/>
      <c r="F53" s="7">
        <f>SUM(F49:F52)</f>
        <v>21700800</v>
      </c>
      <c r="G53" s="7"/>
      <c r="H53" s="7">
        <f>SUM(H49:H52)</f>
        <v>0</v>
      </c>
      <c r="I53" s="7"/>
      <c r="J53" s="7">
        <f>F53+H53</f>
        <v>21700800</v>
      </c>
      <c r="K53" s="8"/>
      <c r="L53" s="7">
        <v>40900800</v>
      </c>
    </row>
    <row r="54" spans="1:12">
      <c r="A54" s="14">
        <v>28</v>
      </c>
      <c r="B54" s="2" t="s">
        <v>98</v>
      </c>
      <c r="C54" s="14" t="s">
        <v>96</v>
      </c>
      <c r="D54" s="3">
        <v>500</v>
      </c>
      <c r="E54" s="4"/>
      <c r="F54" s="3">
        <f>+E54*D54</f>
        <v>0</v>
      </c>
      <c r="G54" s="3">
        <v>571</v>
      </c>
      <c r="H54" s="3">
        <f>D54*G54</f>
        <v>285500</v>
      </c>
      <c r="I54" s="3">
        <f t="shared" ref="I54:I58" si="15">E54+G54</f>
        <v>571</v>
      </c>
      <c r="J54" s="3">
        <f t="shared" ref="J54:J60" si="16">F54+H54</f>
        <v>285500</v>
      </c>
      <c r="K54" s="3">
        <v>7071</v>
      </c>
      <c r="L54" s="3">
        <v>3535500</v>
      </c>
    </row>
    <row r="55" spans="1:12">
      <c r="A55" s="14">
        <v>29</v>
      </c>
      <c r="B55" s="9" t="s">
        <v>97</v>
      </c>
      <c r="C55" s="14" t="s">
        <v>96</v>
      </c>
      <c r="D55" s="3">
        <v>500</v>
      </c>
      <c r="E55" s="4"/>
      <c r="F55" s="3">
        <f>+E55*D55</f>
        <v>0</v>
      </c>
      <c r="G55" s="3">
        <v>543</v>
      </c>
      <c r="H55" s="3">
        <f>D55*G55</f>
        <v>271500</v>
      </c>
      <c r="I55" s="3">
        <f t="shared" si="15"/>
        <v>543</v>
      </c>
      <c r="J55" s="3">
        <f t="shared" si="16"/>
        <v>271500</v>
      </c>
      <c r="K55" s="3">
        <v>5095</v>
      </c>
      <c r="L55" s="3">
        <v>2547500</v>
      </c>
    </row>
    <row r="56" spans="1:12">
      <c r="A56" s="14">
        <v>30</v>
      </c>
      <c r="B56" s="9" t="s">
        <v>95</v>
      </c>
      <c r="C56" s="14" t="s">
        <v>96</v>
      </c>
      <c r="D56" s="3">
        <v>500</v>
      </c>
      <c r="E56" s="4">
        <v>1930</v>
      </c>
      <c r="F56" s="3">
        <f>+E56*D56</f>
        <v>965000</v>
      </c>
      <c r="G56" s="3">
        <v>367</v>
      </c>
      <c r="H56" s="3">
        <f>D56*G56</f>
        <v>183500</v>
      </c>
      <c r="I56" s="3">
        <f t="shared" si="15"/>
        <v>2297</v>
      </c>
      <c r="J56" s="3">
        <f t="shared" si="16"/>
        <v>1148500</v>
      </c>
      <c r="K56" s="3">
        <v>10397</v>
      </c>
      <c r="L56" s="3">
        <v>5198500</v>
      </c>
    </row>
    <row r="57" spans="1:12">
      <c r="A57" s="14">
        <v>31</v>
      </c>
      <c r="B57" s="9" t="s">
        <v>94</v>
      </c>
      <c r="C57" s="14" t="s">
        <v>96</v>
      </c>
      <c r="D57" s="3">
        <v>500</v>
      </c>
      <c r="E57" s="4"/>
      <c r="F57" s="3">
        <f>+E57*D57</f>
        <v>0</v>
      </c>
      <c r="G57" s="3">
        <v>1217</v>
      </c>
      <c r="H57" s="3">
        <f>D57*G57</f>
        <v>608500</v>
      </c>
      <c r="I57" s="3">
        <f t="shared" si="15"/>
        <v>1217</v>
      </c>
      <c r="J57" s="3">
        <f t="shared" si="16"/>
        <v>608500</v>
      </c>
      <c r="K57" s="3">
        <v>9417</v>
      </c>
      <c r="L57" s="3">
        <v>4708500</v>
      </c>
    </row>
    <row r="58" spans="1:12">
      <c r="A58" s="14">
        <v>32</v>
      </c>
      <c r="B58" s="2" t="s">
        <v>99</v>
      </c>
      <c r="C58" s="14" t="s">
        <v>76</v>
      </c>
      <c r="D58" s="3">
        <v>600</v>
      </c>
      <c r="E58" s="4"/>
      <c r="F58" s="3">
        <f>+E58*D58</f>
        <v>0</v>
      </c>
      <c r="G58" s="3"/>
      <c r="H58" s="3">
        <f>+G58*F58</f>
        <v>0</v>
      </c>
      <c r="I58" s="3">
        <f t="shared" si="15"/>
        <v>0</v>
      </c>
      <c r="J58" s="3">
        <f t="shared" si="16"/>
        <v>0</v>
      </c>
      <c r="K58" s="4">
        <v>6700</v>
      </c>
      <c r="L58" s="3">
        <v>4020000</v>
      </c>
    </row>
    <row r="59" spans="1:12" ht="15">
      <c r="A59" s="5" t="s">
        <v>34</v>
      </c>
      <c r="B59" s="6" t="s">
        <v>60</v>
      </c>
      <c r="C59" s="5"/>
      <c r="D59" s="7"/>
      <c r="E59" s="12"/>
      <c r="F59" s="7">
        <f>SUM(F54:F58)</f>
        <v>965000</v>
      </c>
      <c r="G59" s="7"/>
      <c r="H59" s="7">
        <f>SUM(H54:H58)</f>
        <v>1349000</v>
      </c>
      <c r="I59" s="7"/>
      <c r="J59" s="7">
        <f t="shared" si="16"/>
        <v>2314000</v>
      </c>
      <c r="K59" s="12"/>
      <c r="L59" s="7">
        <v>20010000</v>
      </c>
    </row>
    <row r="60" spans="1:12" ht="15">
      <c r="A60" s="5" t="s">
        <v>35</v>
      </c>
      <c r="B60" s="6" t="s">
        <v>105</v>
      </c>
      <c r="C60" s="5"/>
      <c r="D60" s="7"/>
      <c r="E60" s="8"/>
      <c r="F60" s="7">
        <f>SUM(F24+F48+F53+F59)</f>
        <v>22665800</v>
      </c>
      <c r="G60" s="7"/>
      <c r="H60" s="7">
        <f>SUM(H24+H48+H53+H59)</f>
        <v>34894050</v>
      </c>
      <c r="I60" s="7"/>
      <c r="J60" s="7">
        <f t="shared" si="16"/>
        <v>57559850</v>
      </c>
      <c r="K60" s="8"/>
      <c r="L60" s="7">
        <v>220181500</v>
      </c>
    </row>
    <row r="61" spans="1:12">
      <c r="A61" s="14">
        <v>33</v>
      </c>
      <c r="B61" s="9" t="s">
        <v>109</v>
      </c>
      <c r="C61" s="14" t="s">
        <v>77</v>
      </c>
      <c r="D61" s="3">
        <v>11818</v>
      </c>
      <c r="E61" s="4">
        <v>1035</v>
      </c>
      <c r="F61" s="19">
        <f>+E61*D61</f>
        <v>12231630</v>
      </c>
      <c r="G61" s="19">
        <v>827</v>
      </c>
      <c r="H61" s="19">
        <f>G61*D61</f>
        <v>9773486</v>
      </c>
      <c r="I61" s="3">
        <f t="shared" ref="I61:I69" si="17">E61+G61</f>
        <v>1862</v>
      </c>
      <c r="J61" s="3">
        <f t="shared" ref="J61:J70" si="18">F61+H61</f>
        <v>22005116</v>
      </c>
      <c r="K61" s="28">
        <v>1862</v>
      </c>
      <c r="L61" s="4">
        <v>22005116</v>
      </c>
    </row>
    <row r="62" spans="1:12">
      <c r="A62" s="14">
        <v>34</v>
      </c>
      <c r="B62" s="2" t="s">
        <v>63</v>
      </c>
      <c r="C62" s="14" t="s">
        <v>77</v>
      </c>
      <c r="D62" s="3">
        <v>16000</v>
      </c>
      <c r="E62" s="4">
        <v>44</v>
      </c>
      <c r="F62" s="4">
        <f>+E62*D62</f>
        <v>704000</v>
      </c>
      <c r="G62" s="4"/>
      <c r="H62" s="4">
        <f>+G62*F62</f>
        <v>0</v>
      </c>
      <c r="I62" s="3">
        <f t="shared" si="17"/>
        <v>44</v>
      </c>
      <c r="J62" s="3">
        <f t="shared" si="18"/>
        <v>704000</v>
      </c>
      <c r="K62" s="4">
        <v>75</v>
      </c>
      <c r="L62" s="4">
        <v>1200000</v>
      </c>
    </row>
    <row r="63" spans="1:12">
      <c r="A63" s="14">
        <v>35</v>
      </c>
      <c r="B63" s="18" t="s">
        <v>106</v>
      </c>
      <c r="C63" s="22" t="s">
        <v>77</v>
      </c>
      <c r="D63" s="3">
        <v>9600</v>
      </c>
      <c r="E63" s="4">
        <v>44</v>
      </c>
      <c r="F63" s="4">
        <f t="shared" ref="F63:H69" si="19">+E63*D63</f>
        <v>422400</v>
      </c>
      <c r="G63" s="4"/>
      <c r="H63" s="4">
        <f t="shared" si="19"/>
        <v>0</v>
      </c>
      <c r="I63" s="3">
        <f t="shared" si="17"/>
        <v>44</v>
      </c>
      <c r="J63" s="3">
        <f t="shared" si="18"/>
        <v>422400</v>
      </c>
      <c r="K63" s="4">
        <v>75</v>
      </c>
      <c r="L63" s="4">
        <v>720000</v>
      </c>
    </row>
    <row r="64" spans="1:12">
      <c r="A64" s="14">
        <v>36</v>
      </c>
      <c r="B64" s="2" t="s">
        <v>22</v>
      </c>
      <c r="C64" s="14" t="s">
        <v>77</v>
      </c>
      <c r="D64" s="3">
        <v>10400</v>
      </c>
      <c r="E64" s="4">
        <v>19</v>
      </c>
      <c r="F64" s="4">
        <f t="shared" si="19"/>
        <v>197600</v>
      </c>
      <c r="G64" s="4"/>
      <c r="H64" s="4">
        <f t="shared" si="19"/>
        <v>0</v>
      </c>
      <c r="I64" s="3">
        <f t="shared" si="17"/>
        <v>19</v>
      </c>
      <c r="J64" s="3">
        <f t="shared" si="18"/>
        <v>197600</v>
      </c>
      <c r="K64" s="4">
        <v>50</v>
      </c>
      <c r="L64" s="4">
        <v>520000</v>
      </c>
    </row>
    <row r="65" spans="1:13">
      <c r="A65" s="14">
        <v>37</v>
      </c>
      <c r="B65" s="2" t="s">
        <v>110</v>
      </c>
      <c r="C65" s="14" t="s">
        <v>77</v>
      </c>
      <c r="D65" s="3">
        <v>21540</v>
      </c>
      <c r="E65" s="4">
        <v>132</v>
      </c>
      <c r="F65" s="4">
        <f t="shared" si="19"/>
        <v>2843280</v>
      </c>
      <c r="G65" s="4"/>
      <c r="H65" s="4">
        <f t="shared" si="19"/>
        <v>0</v>
      </c>
      <c r="I65" s="3">
        <f t="shared" si="17"/>
        <v>132</v>
      </c>
      <c r="J65" s="3">
        <f t="shared" si="18"/>
        <v>2843280</v>
      </c>
      <c r="K65" s="4">
        <v>132</v>
      </c>
      <c r="L65" s="4">
        <v>2843280</v>
      </c>
    </row>
    <row r="66" spans="1:13">
      <c r="A66" s="14">
        <v>38</v>
      </c>
      <c r="B66" s="2" t="s">
        <v>111</v>
      </c>
      <c r="C66" s="14" t="s">
        <v>77</v>
      </c>
      <c r="D66" s="3">
        <v>14910</v>
      </c>
      <c r="E66" s="4">
        <v>1035</v>
      </c>
      <c r="F66" s="4">
        <f t="shared" si="19"/>
        <v>15431850</v>
      </c>
      <c r="G66" s="4">
        <v>827</v>
      </c>
      <c r="H66" s="19">
        <f>G66*D66</f>
        <v>12330570</v>
      </c>
      <c r="I66" s="3">
        <f t="shared" si="17"/>
        <v>1862</v>
      </c>
      <c r="J66" s="3">
        <f t="shared" si="18"/>
        <v>27762420</v>
      </c>
      <c r="K66" s="4">
        <v>1862</v>
      </c>
      <c r="L66" s="4">
        <v>27762420</v>
      </c>
    </row>
    <row r="67" spans="1:13">
      <c r="A67" s="14">
        <v>39</v>
      </c>
      <c r="B67" s="2" t="s">
        <v>112</v>
      </c>
      <c r="C67" s="14" t="s">
        <v>77</v>
      </c>
      <c r="D67" s="3">
        <v>6000</v>
      </c>
      <c r="E67" s="4">
        <v>132</v>
      </c>
      <c r="F67" s="4">
        <f t="shared" si="19"/>
        <v>792000</v>
      </c>
      <c r="G67" s="4"/>
      <c r="H67" s="4">
        <f t="shared" si="19"/>
        <v>0</v>
      </c>
      <c r="I67" s="3">
        <f t="shared" si="17"/>
        <v>132</v>
      </c>
      <c r="J67" s="3">
        <f t="shared" si="18"/>
        <v>792000</v>
      </c>
      <c r="K67" s="4">
        <v>132</v>
      </c>
      <c r="L67" s="4">
        <v>792000</v>
      </c>
    </row>
    <row r="68" spans="1:13">
      <c r="A68" s="14">
        <v>40</v>
      </c>
      <c r="B68" s="2" t="s">
        <v>113</v>
      </c>
      <c r="C68" s="14" t="s">
        <v>77</v>
      </c>
      <c r="D68" s="3">
        <v>4080</v>
      </c>
      <c r="E68" s="4">
        <v>1035</v>
      </c>
      <c r="F68" s="3">
        <f t="shared" si="19"/>
        <v>4222800</v>
      </c>
      <c r="G68" s="3">
        <v>827</v>
      </c>
      <c r="H68" s="19">
        <f>G68*D68</f>
        <v>3374160</v>
      </c>
      <c r="I68" s="3">
        <f t="shared" si="17"/>
        <v>1862</v>
      </c>
      <c r="J68" s="3">
        <f t="shared" si="18"/>
        <v>7596960</v>
      </c>
      <c r="K68" s="3">
        <v>1862</v>
      </c>
      <c r="L68" s="3">
        <v>7596960</v>
      </c>
    </row>
    <row r="69" spans="1:13">
      <c r="A69" s="14">
        <v>41</v>
      </c>
      <c r="B69" s="2" t="s">
        <v>114</v>
      </c>
      <c r="C69" s="14" t="s">
        <v>77</v>
      </c>
      <c r="D69" s="3">
        <v>14400</v>
      </c>
      <c r="E69" s="4">
        <v>22</v>
      </c>
      <c r="F69" s="3">
        <f t="shared" si="19"/>
        <v>316800</v>
      </c>
      <c r="G69" s="3"/>
      <c r="H69" s="3">
        <f t="shared" si="19"/>
        <v>0</v>
      </c>
      <c r="I69" s="3">
        <f t="shared" si="17"/>
        <v>22</v>
      </c>
      <c r="J69" s="3">
        <f t="shared" si="18"/>
        <v>316800</v>
      </c>
      <c r="K69" s="4">
        <v>22</v>
      </c>
      <c r="L69" s="3">
        <v>316800</v>
      </c>
    </row>
    <row r="70" spans="1:13" ht="14.25" customHeight="1">
      <c r="A70" s="5" t="s">
        <v>36</v>
      </c>
      <c r="B70" s="13" t="s">
        <v>61</v>
      </c>
      <c r="C70" s="5"/>
      <c r="D70" s="7"/>
      <c r="E70" s="8"/>
      <c r="F70" s="7">
        <f>SUM(F61:F69)</f>
        <v>37162360</v>
      </c>
      <c r="G70" s="7"/>
      <c r="H70" s="7">
        <f>SUM(H61:H69)</f>
        <v>25478216</v>
      </c>
      <c r="I70" s="7"/>
      <c r="J70" s="7">
        <f t="shared" si="18"/>
        <v>62640576</v>
      </c>
      <c r="K70" s="8"/>
      <c r="L70" s="7">
        <v>63756576</v>
      </c>
      <c r="M70" s="20"/>
    </row>
    <row r="71" spans="1:13">
      <c r="A71" s="14">
        <v>42</v>
      </c>
      <c r="B71" s="2" t="s">
        <v>30</v>
      </c>
      <c r="C71" s="14"/>
      <c r="D71" s="3"/>
      <c r="E71" s="4"/>
      <c r="F71" s="4"/>
      <c r="G71" s="4"/>
      <c r="H71" s="4"/>
      <c r="I71" s="4"/>
      <c r="J71" s="4"/>
      <c r="K71" s="4"/>
      <c r="L71" s="4"/>
    </row>
    <row r="72" spans="1:13">
      <c r="A72" s="14">
        <v>43</v>
      </c>
      <c r="B72" s="2" t="s">
        <v>23</v>
      </c>
      <c r="C72" s="14" t="s">
        <v>79</v>
      </c>
      <c r="D72" s="3">
        <v>250000</v>
      </c>
      <c r="E72" s="4">
        <v>1</v>
      </c>
      <c r="F72" s="3">
        <f>D72*E72</f>
        <v>250000</v>
      </c>
      <c r="G72" s="3"/>
      <c r="H72" s="3">
        <f>F72*G72</f>
        <v>0</v>
      </c>
      <c r="I72" s="3">
        <v>1</v>
      </c>
      <c r="J72" s="3">
        <f t="shared" ref="J72" si="20">F72+H72</f>
        <v>250000</v>
      </c>
      <c r="K72" s="3">
        <v>6</v>
      </c>
      <c r="L72" s="3">
        <v>1500000</v>
      </c>
      <c r="M72" s="21"/>
    </row>
    <row r="73" spans="1:13">
      <c r="A73" s="14">
        <v>44</v>
      </c>
      <c r="B73" s="2" t="s">
        <v>58</v>
      </c>
      <c r="C73" s="14"/>
      <c r="D73" s="3"/>
      <c r="E73" s="4"/>
      <c r="F73" s="4"/>
      <c r="G73" s="4"/>
      <c r="H73" s="4"/>
      <c r="I73" s="4"/>
      <c r="J73" s="4"/>
      <c r="K73" s="4"/>
      <c r="L73" s="4"/>
    </row>
    <row r="74" spans="1:13" ht="15">
      <c r="A74" s="5" t="s">
        <v>37</v>
      </c>
      <c r="B74" s="6" t="s">
        <v>62</v>
      </c>
      <c r="C74" s="5"/>
      <c r="D74" s="7"/>
      <c r="E74" s="8"/>
      <c r="F74" s="7">
        <f>SUM(F71:F73)</f>
        <v>250000</v>
      </c>
      <c r="G74" s="7"/>
      <c r="H74" s="7">
        <f>SUM(H71:H73)</f>
        <v>0</v>
      </c>
      <c r="I74" s="7"/>
      <c r="J74" s="7">
        <f t="shared" ref="J74:J78" si="21">F74+H74</f>
        <v>250000</v>
      </c>
      <c r="K74" s="8"/>
      <c r="L74" s="7">
        <v>1500000</v>
      </c>
    </row>
    <row r="75" spans="1:13" ht="15">
      <c r="A75" s="5" t="s">
        <v>38</v>
      </c>
      <c r="B75" s="6" t="s">
        <v>42</v>
      </c>
      <c r="C75" s="5"/>
      <c r="D75" s="7"/>
      <c r="E75" s="8"/>
      <c r="F75" s="7">
        <f>+F74+F70</f>
        <v>37412360</v>
      </c>
      <c r="G75" s="7"/>
      <c r="H75" s="7">
        <f>+H74+H70</f>
        <v>25478216</v>
      </c>
      <c r="I75" s="7"/>
      <c r="J75" s="7">
        <f t="shared" si="21"/>
        <v>62890576</v>
      </c>
      <c r="K75" s="8"/>
      <c r="L75" s="7">
        <v>65256576</v>
      </c>
    </row>
    <row r="76" spans="1:13" ht="15">
      <c r="A76" s="5" t="s">
        <v>39</v>
      </c>
      <c r="B76" s="6" t="s">
        <v>43</v>
      </c>
      <c r="C76" s="5"/>
      <c r="D76" s="7"/>
      <c r="E76" s="8"/>
      <c r="F76" s="7">
        <f>+F75+F60</f>
        <v>60078160</v>
      </c>
      <c r="G76" s="7"/>
      <c r="H76" s="7">
        <f>+H75+H60</f>
        <v>60372266</v>
      </c>
      <c r="I76" s="7"/>
      <c r="J76" s="7">
        <f t="shared" si="21"/>
        <v>120450426</v>
      </c>
      <c r="K76" s="8"/>
      <c r="L76" s="7">
        <v>285438076</v>
      </c>
    </row>
    <row r="77" spans="1:13" ht="15">
      <c r="A77" s="5" t="s">
        <v>40</v>
      </c>
      <c r="B77" s="6" t="s">
        <v>24</v>
      </c>
      <c r="C77" s="5"/>
      <c r="D77" s="7"/>
      <c r="E77" s="8"/>
      <c r="F77" s="7">
        <f>+F76/10</f>
        <v>6007816</v>
      </c>
      <c r="G77" s="7"/>
      <c r="H77" s="7">
        <f>+H76/10</f>
        <v>6037226.5999999996</v>
      </c>
      <c r="I77" s="7"/>
      <c r="J77" s="7">
        <f t="shared" si="21"/>
        <v>12045042.6</v>
      </c>
      <c r="K77" s="8"/>
      <c r="L77" s="7">
        <v>28543807.599999998</v>
      </c>
    </row>
    <row r="78" spans="1:13" ht="15">
      <c r="A78" s="5" t="s">
        <v>41</v>
      </c>
      <c r="B78" s="6" t="s">
        <v>44</v>
      </c>
      <c r="C78" s="5"/>
      <c r="D78" s="7"/>
      <c r="E78" s="8"/>
      <c r="F78" s="7">
        <f>+F76+F77</f>
        <v>66085976</v>
      </c>
      <c r="G78" s="7"/>
      <c r="H78" s="7">
        <f>+H76+H77</f>
        <v>66409492.600000001</v>
      </c>
      <c r="I78" s="7"/>
      <c r="J78" s="7">
        <f t="shared" si="21"/>
        <v>132495468.59999999</v>
      </c>
      <c r="K78" s="8"/>
      <c r="L78" s="7">
        <v>313981883.60000002</v>
      </c>
      <c r="M78" s="17"/>
    </row>
    <row r="79" spans="1:13" ht="15">
      <c r="B79" s="1" t="s">
        <v>7</v>
      </c>
    </row>
    <row r="80" spans="1:13">
      <c r="B80" t="s">
        <v>87</v>
      </c>
      <c r="K80" s="113" t="s">
        <v>83</v>
      </c>
      <c r="L80" s="113"/>
      <c r="M80" s="17"/>
    </row>
    <row r="81" spans="2:12">
      <c r="B81" t="s">
        <v>86</v>
      </c>
      <c r="K81" s="113" t="s">
        <v>84</v>
      </c>
      <c r="L81" s="113"/>
    </row>
    <row r="82" spans="2:12">
      <c r="B82" t="s">
        <v>88</v>
      </c>
      <c r="K82" s="113" t="s">
        <v>85</v>
      </c>
      <c r="L82" s="113"/>
    </row>
    <row r="83" spans="2:12" ht="15">
      <c r="B83" s="1" t="s">
        <v>1</v>
      </c>
    </row>
    <row r="84" spans="2:12">
      <c r="B84" t="s">
        <v>50</v>
      </c>
      <c r="K84" t="s">
        <v>68</v>
      </c>
    </row>
    <row r="85" spans="2:12">
      <c r="B85" t="s">
        <v>53</v>
      </c>
      <c r="K85" t="s">
        <v>69</v>
      </c>
    </row>
    <row r="86" spans="2:12" ht="15">
      <c r="B86" s="1" t="s">
        <v>2</v>
      </c>
    </row>
    <row r="87" spans="2:12">
      <c r="B87" t="s">
        <v>51</v>
      </c>
      <c r="K87" s="114" t="s">
        <v>67</v>
      </c>
      <c r="L87" s="114"/>
    </row>
    <row r="88" spans="2:12">
      <c r="B88" t="s">
        <v>52</v>
      </c>
      <c r="K88" t="s">
        <v>70</v>
      </c>
    </row>
  </sheetData>
  <mergeCells count="19">
    <mergeCell ref="K80:L80"/>
    <mergeCell ref="K81:L81"/>
    <mergeCell ref="K82:L82"/>
    <mergeCell ref="K87:L87"/>
    <mergeCell ref="I17:J17"/>
    <mergeCell ref="A15:L15"/>
    <mergeCell ref="A17:A18"/>
    <mergeCell ref="B17:B18"/>
    <mergeCell ref="C17:C18"/>
    <mergeCell ref="D17:D18"/>
    <mergeCell ref="E17:F17"/>
    <mergeCell ref="G17:H17"/>
    <mergeCell ref="K17:L17"/>
    <mergeCell ref="A13:L13"/>
    <mergeCell ref="A2:L2"/>
    <mergeCell ref="A3:L3"/>
    <mergeCell ref="A4:L4"/>
    <mergeCell ref="B8:L8"/>
    <mergeCell ref="B10:L10"/>
  </mergeCells>
  <printOptions horizontalCentered="1"/>
  <pageMargins left="0.78740157480314965" right="0.59055118110236227" top="0.78740157480314965" bottom="0.59055118110236227" header="0.31496062992125984" footer="0.31496062992125984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88"/>
  <sheetViews>
    <sheetView workbookViewId="0">
      <selection activeCell="G17" sqref="G17:H78"/>
    </sheetView>
  </sheetViews>
  <sheetFormatPr defaultColWidth="9" defaultRowHeight="14.25"/>
  <cols>
    <col min="1" max="1" width="3.875" style="22" bestFit="1" customWidth="1"/>
    <col min="2" max="2" width="35" customWidth="1"/>
    <col min="3" max="3" width="7.125" customWidth="1"/>
    <col min="4" max="4" width="8.875" customWidth="1"/>
    <col min="5" max="5" width="6.25" customWidth="1"/>
    <col min="6" max="6" width="11.125" bestFit="1" customWidth="1"/>
    <col min="7" max="7" width="11.125" customWidth="1"/>
    <col min="8" max="8" width="14" customWidth="1"/>
    <col min="9" max="9" width="8.25" customWidth="1"/>
    <col min="10" max="10" width="11.125" customWidth="1"/>
    <col min="11" max="11" width="14" customWidth="1"/>
  </cols>
  <sheetData>
    <row r="2" spans="1:10">
      <c r="A2" s="105" t="s">
        <v>64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>
      <c r="A3" s="105" t="s">
        <v>65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>
      <c r="A4" s="105" t="s">
        <v>66</v>
      </c>
      <c r="B4" s="105"/>
      <c r="C4" s="105"/>
      <c r="D4" s="105"/>
      <c r="E4" s="105"/>
      <c r="F4" s="105"/>
      <c r="G4" s="105"/>
      <c r="H4" s="105"/>
      <c r="I4" s="105"/>
      <c r="J4" s="105"/>
    </row>
    <row r="8" spans="1:10" ht="15">
      <c r="B8" s="106" t="s">
        <v>71</v>
      </c>
      <c r="C8" s="106"/>
      <c r="D8" s="106"/>
      <c r="E8" s="106"/>
      <c r="F8" s="106"/>
      <c r="G8" s="106"/>
      <c r="H8" s="106"/>
      <c r="I8" s="106"/>
      <c r="J8" s="106"/>
    </row>
    <row r="9" spans="1:10" ht="7.5" customHeight="1">
      <c r="B9" s="1"/>
      <c r="C9" s="1"/>
      <c r="D9" s="1"/>
      <c r="E9" s="1"/>
      <c r="F9" s="1"/>
      <c r="G9" s="1"/>
      <c r="H9" s="1"/>
    </row>
    <row r="10" spans="1:10" ht="15">
      <c r="B10" s="106" t="s">
        <v>107</v>
      </c>
      <c r="C10" s="106"/>
      <c r="D10" s="106"/>
      <c r="E10" s="106"/>
      <c r="F10" s="106"/>
      <c r="G10" s="106"/>
      <c r="H10" s="106"/>
      <c r="I10" s="106"/>
      <c r="J10" s="106"/>
    </row>
    <row r="11" spans="1:10" ht="15">
      <c r="B11" s="23"/>
      <c r="C11" s="23"/>
      <c r="D11" s="23"/>
      <c r="E11" s="23"/>
      <c r="F11" s="23"/>
      <c r="G11" s="23"/>
      <c r="H11" s="23"/>
    </row>
    <row r="12" spans="1:10" ht="15">
      <c r="B12" s="23"/>
      <c r="C12" s="23"/>
      <c r="D12" s="23"/>
      <c r="E12" s="23"/>
      <c r="F12" s="23"/>
      <c r="G12" s="23"/>
      <c r="H12" s="23"/>
    </row>
    <row r="13" spans="1:10">
      <c r="A13" s="105" t="s">
        <v>108</v>
      </c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105" t="s">
        <v>81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0">
      <c r="A16" s="22" t="s">
        <v>80</v>
      </c>
    </row>
    <row r="17" spans="1:11" ht="41.45" customHeight="1">
      <c r="A17" s="107" t="s">
        <v>49</v>
      </c>
      <c r="B17" s="107" t="s">
        <v>8</v>
      </c>
      <c r="C17" s="108" t="s">
        <v>45</v>
      </c>
      <c r="D17" s="108" t="s">
        <v>46</v>
      </c>
      <c r="E17" s="110" t="s">
        <v>115</v>
      </c>
      <c r="F17" s="110"/>
      <c r="G17" s="111" t="s">
        <v>116</v>
      </c>
      <c r="H17" s="112"/>
      <c r="I17" s="110" t="s">
        <v>48</v>
      </c>
      <c r="J17" s="110"/>
    </row>
    <row r="18" spans="1:11">
      <c r="A18" s="107"/>
      <c r="B18" s="107"/>
      <c r="C18" s="109"/>
      <c r="D18" s="109"/>
      <c r="E18" s="26" t="s">
        <v>9</v>
      </c>
      <c r="F18" s="26" t="s">
        <v>0</v>
      </c>
      <c r="G18" s="26" t="s">
        <v>9</v>
      </c>
      <c r="H18" s="26" t="s">
        <v>0</v>
      </c>
      <c r="I18" s="26" t="s">
        <v>9</v>
      </c>
      <c r="J18" s="26" t="s">
        <v>0</v>
      </c>
    </row>
    <row r="19" spans="1:11">
      <c r="A19" s="26">
        <v>0</v>
      </c>
      <c r="B19" s="26">
        <v>1</v>
      </c>
      <c r="C19" s="25">
        <v>2</v>
      </c>
      <c r="D19" s="25">
        <v>3</v>
      </c>
      <c r="E19" s="26">
        <v>4</v>
      </c>
      <c r="F19" s="26">
        <v>5</v>
      </c>
      <c r="G19" s="26"/>
      <c r="H19" s="26"/>
      <c r="I19" s="26">
        <v>6</v>
      </c>
      <c r="J19" s="26">
        <v>7</v>
      </c>
    </row>
    <row r="20" spans="1:11">
      <c r="A20" s="14">
        <v>1</v>
      </c>
      <c r="B20" s="2" t="s">
        <v>5</v>
      </c>
      <c r="C20" s="14" t="s">
        <v>72</v>
      </c>
      <c r="D20" s="3">
        <v>56000</v>
      </c>
      <c r="E20" s="4"/>
      <c r="F20" s="3">
        <f>+E20*D20</f>
        <v>0</v>
      </c>
      <c r="G20" s="3"/>
      <c r="H20" s="3">
        <f>+G20*F20</f>
        <v>0</v>
      </c>
      <c r="I20" s="4">
        <v>128</v>
      </c>
      <c r="J20" s="3">
        <f>+I20*D20</f>
        <v>7168000</v>
      </c>
    </row>
    <row r="21" spans="1:11">
      <c r="A21" s="14">
        <v>2</v>
      </c>
      <c r="B21" s="2" t="s">
        <v>10</v>
      </c>
      <c r="C21" s="14" t="s">
        <v>73</v>
      </c>
      <c r="D21" s="3">
        <v>49000</v>
      </c>
      <c r="E21" s="4"/>
      <c r="F21" s="3">
        <f t="shared" ref="F21:H23" si="0">+E21*D21</f>
        <v>0</v>
      </c>
      <c r="G21" s="3"/>
      <c r="H21" s="3">
        <f t="shared" si="0"/>
        <v>0</v>
      </c>
      <c r="I21" s="4">
        <v>40</v>
      </c>
      <c r="J21" s="3">
        <f t="shared" ref="J21:J23" si="1">+I21*D21</f>
        <v>1960000</v>
      </c>
    </row>
    <row r="22" spans="1:11">
      <c r="A22" s="14">
        <v>3</v>
      </c>
      <c r="B22" s="2" t="s">
        <v>3</v>
      </c>
      <c r="C22" s="14" t="s">
        <v>72</v>
      </c>
      <c r="D22" s="3">
        <v>79600</v>
      </c>
      <c r="E22" s="4"/>
      <c r="F22" s="3">
        <f t="shared" si="0"/>
        <v>0</v>
      </c>
      <c r="G22" s="3"/>
      <c r="H22" s="3">
        <f t="shared" si="0"/>
        <v>0</v>
      </c>
      <c r="I22" s="4">
        <v>103</v>
      </c>
      <c r="J22" s="3">
        <f t="shared" si="1"/>
        <v>8198800</v>
      </c>
    </row>
    <row r="23" spans="1:11">
      <c r="A23" s="14">
        <v>4</v>
      </c>
      <c r="B23" s="2" t="s">
        <v>74</v>
      </c>
      <c r="C23" s="14" t="s">
        <v>72</v>
      </c>
      <c r="D23" s="3">
        <v>58500</v>
      </c>
      <c r="E23" s="4"/>
      <c r="F23" s="3">
        <f t="shared" si="0"/>
        <v>0</v>
      </c>
      <c r="G23" s="3"/>
      <c r="H23" s="3">
        <f t="shared" si="0"/>
        <v>0</v>
      </c>
      <c r="I23" s="4">
        <v>61</v>
      </c>
      <c r="J23" s="3">
        <f t="shared" si="1"/>
        <v>3568500</v>
      </c>
    </row>
    <row r="24" spans="1:11" ht="15">
      <c r="A24" s="5" t="s">
        <v>26</v>
      </c>
      <c r="B24" s="6" t="s">
        <v>54</v>
      </c>
      <c r="C24" s="5"/>
      <c r="D24" s="7"/>
      <c r="E24" s="8"/>
      <c r="F24" s="7">
        <f>SUM(F20:F23)</f>
        <v>0</v>
      </c>
      <c r="G24" s="7"/>
      <c r="H24" s="7">
        <f>SUM(H20:H23)</f>
        <v>0</v>
      </c>
      <c r="I24" s="8"/>
      <c r="J24" s="7">
        <f>SUM(J20:J23)</f>
        <v>20895300</v>
      </c>
    </row>
    <row r="25" spans="1:11">
      <c r="A25" s="14">
        <v>5</v>
      </c>
      <c r="B25" s="2" t="s">
        <v>25</v>
      </c>
      <c r="C25" s="14" t="s">
        <v>75</v>
      </c>
      <c r="D25" s="3">
        <v>48600</v>
      </c>
      <c r="E25" s="4"/>
      <c r="F25" s="3">
        <f>D25*E25</f>
        <v>0</v>
      </c>
      <c r="G25" s="3">
        <v>55</v>
      </c>
      <c r="H25" s="3">
        <f>D25*G25</f>
        <v>2673000</v>
      </c>
      <c r="I25" s="3">
        <f>350+G25</f>
        <v>405</v>
      </c>
      <c r="J25" s="3">
        <f>D25*I25</f>
        <v>19683000</v>
      </c>
    </row>
    <row r="26" spans="1:11">
      <c r="A26" s="14">
        <v>6</v>
      </c>
      <c r="B26" s="2" t="s">
        <v>11</v>
      </c>
      <c r="C26" s="14" t="s">
        <v>76</v>
      </c>
      <c r="D26" s="3">
        <v>34000</v>
      </c>
      <c r="E26" s="4"/>
      <c r="F26" s="3">
        <f>E26*D26</f>
        <v>0</v>
      </c>
      <c r="G26" s="3"/>
      <c r="H26" s="3">
        <f>G26*F26</f>
        <v>0</v>
      </c>
      <c r="I26" s="4">
        <v>260</v>
      </c>
      <c r="J26" s="3">
        <f>I26*D26</f>
        <v>8840000</v>
      </c>
    </row>
    <row r="27" spans="1:11">
      <c r="A27" s="14">
        <v>7</v>
      </c>
      <c r="B27" s="2" t="s">
        <v>4</v>
      </c>
      <c r="C27" s="14" t="s">
        <v>76</v>
      </c>
      <c r="D27" s="3">
        <v>41000</v>
      </c>
      <c r="E27" s="4"/>
      <c r="F27" s="3">
        <f>+E27*D27</f>
        <v>0</v>
      </c>
      <c r="H27" s="3"/>
      <c r="I27" s="3" t="e">
        <f>20+#REF!</f>
        <v>#REF!</v>
      </c>
      <c r="J27" s="3" t="e">
        <f>+I27*D27</f>
        <v>#REF!</v>
      </c>
    </row>
    <row r="28" spans="1:11">
      <c r="A28" s="14">
        <v>8</v>
      </c>
      <c r="B28" s="2" t="s">
        <v>12</v>
      </c>
      <c r="C28" s="14" t="s">
        <v>77</v>
      </c>
      <c r="D28" s="3">
        <v>19900</v>
      </c>
      <c r="E28" s="4"/>
      <c r="F28" s="3">
        <f>+E28*D28</f>
        <v>0</v>
      </c>
      <c r="G28" s="3">
        <v>827</v>
      </c>
      <c r="H28" s="3">
        <f>G28*D28</f>
        <v>16457300</v>
      </c>
      <c r="I28" s="3">
        <f>1035+G28</f>
        <v>1862</v>
      </c>
      <c r="J28" s="3">
        <f>I28*D28</f>
        <v>37053800</v>
      </c>
      <c r="K28" s="17"/>
    </row>
    <row r="29" spans="1:11">
      <c r="A29" s="14">
        <v>9</v>
      </c>
      <c r="B29" s="9" t="s">
        <v>101</v>
      </c>
      <c r="C29" s="14"/>
      <c r="D29" s="3"/>
      <c r="E29" s="3"/>
      <c r="F29" s="3"/>
      <c r="G29" s="3"/>
      <c r="H29" s="3"/>
      <c r="I29" s="3"/>
      <c r="J29" s="3"/>
    </row>
    <row r="30" spans="1:11">
      <c r="A30" s="14">
        <v>10</v>
      </c>
      <c r="B30" s="2" t="s">
        <v>13</v>
      </c>
      <c r="C30" s="14" t="s">
        <v>77</v>
      </c>
      <c r="D30" s="3">
        <v>4250</v>
      </c>
      <c r="E30" s="4"/>
      <c r="F30" s="3">
        <f>D30*E30</f>
        <v>0</v>
      </c>
      <c r="G30" s="3"/>
      <c r="H30" s="3">
        <f>F30*G30</f>
        <v>0</v>
      </c>
      <c r="I30" s="4">
        <v>80</v>
      </c>
      <c r="J30" s="3">
        <f>I30*D30</f>
        <v>340000</v>
      </c>
    </row>
    <row r="31" spans="1:11">
      <c r="A31" s="14">
        <v>11</v>
      </c>
      <c r="B31" s="2" t="s">
        <v>82</v>
      </c>
      <c r="C31" s="14" t="s">
        <v>77</v>
      </c>
      <c r="D31" s="3">
        <v>5850</v>
      </c>
      <c r="E31" s="4"/>
      <c r="F31" s="3">
        <f>D31*E31</f>
        <v>0</v>
      </c>
      <c r="G31" s="3">
        <v>827</v>
      </c>
      <c r="H31" s="3">
        <f>G31*D31</f>
        <v>4837950</v>
      </c>
      <c r="I31" s="3">
        <f>1035+G31</f>
        <v>1862</v>
      </c>
      <c r="J31" s="3">
        <f>I31*D31</f>
        <v>10892700</v>
      </c>
      <c r="K31" s="17"/>
    </row>
    <row r="32" spans="1:11" ht="15">
      <c r="A32" s="5" t="s">
        <v>27</v>
      </c>
      <c r="B32" s="6" t="s">
        <v>55</v>
      </c>
      <c r="C32" s="5"/>
      <c r="D32" s="7"/>
      <c r="E32" s="8"/>
      <c r="F32" s="7">
        <f>SUM(F25:F31)</f>
        <v>0</v>
      </c>
      <c r="G32" s="7"/>
      <c r="H32" s="7">
        <f>SUM(H25:H31)</f>
        <v>23968250</v>
      </c>
      <c r="I32" s="8"/>
      <c r="J32" s="7" t="e">
        <f>SUM(J25:J31)</f>
        <v>#REF!</v>
      </c>
      <c r="K32" s="17"/>
    </row>
    <row r="33" spans="1:11">
      <c r="A33" s="14">
        <v>12</v>
      </c>
      <c r="B33" s="2" t="s">
        <v>14</v>
      </c>
      <c r="C33" s="14"/>
      <c r="D33" s="3"/>
      <c r="E33" s="4"/>
      <c r="F33" s="3"/>
      <c r="G33" s="3"/>
      <c r="H33" s="3"/>
      <c r="I33" s="4"/>
      <c r="J33" s="3"/>
    </row>
    <row r="34" spans="1:11">
      <c r="A34" s="14">
        <v>13</v>
      </c>
      <c r="B34" s="2" t="s">
        <v>15</v>
      </c>
      <c r="C34" s="14"/>
      <c r="D34" s="3"/>
      <c r="E34" s="4"/>
      <c r="F34" s="3"/>
      <c r="G34" s="3"/>
      <c r="H34" s="3"/>
      <c r="I34" s="4"/>
      <c r="J34" s="3"/>
    </row>
    <row r="35" spans="1:11">
      <c r="A35" s="14">
        <v>14</v>
      </c>
      <c r="B35" s="2" t="s">
        <v>16</v>
      </c>
      <c r="C35" s="14" t="s">
        <v>78</v>
      </c>
      <c r="D35" s="3">
        <v>1200</v>
      </c>
      <c r="E35" s="4"/>
      <c r="F35" s="3">
        <f>D35*E35</f>
        <v>0</v>
      </c>
      <c r="G35" s="3">
        <v>827</v>
      </c>
      <c r="H35" s="3">
        <f>G35*D35</f>
        <v>992400</v>
      </c>
      <c r="I35" s="3">
        <f>1035+G35</f>
        <v>1862</v>
      </c>
      <c r="J35" s="3">
        <f>I35*D35</f>
        <v>2234400</v>
      </c>
      <c r="K35" s="17"/>
    </row>
    <row r="36" spans="1:11">
      <c r="A36" s="14">
        <v>15</v>
      </c>
      <c r="B36" s="2" t="s">
        <v>17</v>
      </c>
      <c r="C36" s="14"/>
      <c r="D36" s="3"/>
      <c r="E36" s="4"/>
      <c r="F36" s="3"/>
      <c r="G36" s="3"/>
      <c r="H36" s="3"/>
      <c r="I36" s="4"/>
      <c r="J36" s="3"/>
    </row>
    <row r="37" spans="1:11" ht="15">
      <c r="A37" s="5" t="s">
        <v>28</v>
      </c>
      <c r="B37" s="6" t="s">
        <v>57</v>
      </c>
      <c r="C37" s="5"/>
      <c r="D37" s="7"/>
      <c r="E37" s="8"/>
      <c r="F37" s="7">
        <f>SUM(F33:F36)</f>
        <v>0</v>
      </c>
      <c r="G37" s="7"/>
      <c r="H37" s="7">
        <f>SUM(H33:H36)</f>
        <v>992400</v>
      </c>
      <c r="I37" s="8"/>
      <c r="J37" s="7">
        <f>SUM(J33:J36)</f>
        <v>2234400</v>
      </c>
      <c r="K37" s="17"/>
    </row>
    <row r="38" spans="1:11">
      <c r="A38" s="14">
        <v>16</v>
      </c>
      <c r="B38" s="2" t="s">
        <v>90</v>
      </c>
      <c r="C38" s="14" t="s">
        <v>77</v>
      </c>
      <c r="D38" s="3">
        <v>6200</v>
      </c>
      <c r="E38" s="4"/>
      <c r="F38" s="3">
        <f>+E38*D38</f>
        <v>0</v>
      </c>
      <c r="G38" s="3"/>
      <c r="H38" s="3">
        <f>+G38*F38</f>
        <v>0</v>
      </c>
      <c r="I38" s="4">
        <v>51</v>
      </c>
      <c r="J38" s="3">
        <f>+I38*D38</f>
        <v>316200</v>
      </c>
    </row>
    <row r="39" spans="1:11">
      <c r="A39" s="14">
        <v>17</v>
      </c>
      <c r="B39" s="2" t="s">
        <v>89</v>
      </c>
      <c r="C39" s="14" t="s">
        <v>77</v>
      </c>
      <c r="D39" s="3">
        <v>6300</v>
      </c>
      <c r="E39" s="4"/>
      <c r="F39" s="3">
        <f>+E39*D39</f>
        <v>0</v>
      </c>
      <c r="G39" s="3"/>
      <c r="H39" s="3">
        <f>+G39*F39</f>
        <v>0</v>
      </c>
      <c r="I39" s="4">
        <v>75</v>
      </c>
      <c r="J39" s="3">
        <f>+I39*D39</f>
        <v>472500</v>
      </c>
    </row>
    <row r="40" spans="1:11">
      <c r="A40" s="14">
        <v>18</v>
      </c>
      <c r="B40" s="2" t="s">
        <v>18</v>
      </c>
      <c r="C40" s="14"/>
      <c r="D40" s="3"/>
      <c r="E40" s="4"/>
      <c r="F40" s="3"/>
      <c r="G40" s="3"/>
      <c r="H40" s="3"/>
      <c r="I40" s="4"/>
      <c r="J40" s="3"/>
    </row>
    <row r="41" spans="1:11">
      <c r="A41" s="14">
        <v>19</v>
      </c>
      <c r="B41" s="2" t="s">
        <v>19</v>
      </c>
      <c r="C41" s="14"/>
      <c r="D41" s="3"/>
      <c r="E41" s="4"/>
      <c r="F41" s="3"/>
      <c r="G41" s="3"/>
      <c r="H41" s="3"/>
      <c r="I41" s="4"/>
      <c r="J41" s="3"/>
    </row>
    <row r="42" spans="1:11">
      <c r="A42" s="14">
        <v>20</v>
      </c>
      <c r="B42" s="2" t="s">
        <v>56</v>
      </c>
      <c r="C42" s="14"/>
      <c r="D42" s="3"/>
      <c r="E42" s="4"/>
      <c r="F42" s="3"/>
      <c r="G42" s="3"/>
      <c r="H42" s="3"/>
      <c r="I42" s="4"/>
      <c r="J42" s="3"/>
    </row>
    <row r="43" spans="1:11">
      <c r="A43" s="14">
        <v>21</v>
      </c>
      <c r="B43" s="2" t="s">
        <v>91</v>
      </c>
      <c r="C43" s="14" t="s">
        <v>92</v>
      </c>
      <c r="D43" s="3">
        <v>58000</v>
      </c>
      <c r="E43" s="4"/>
      <c r="F43" s="3">
        <f>+E43*D43</f>
        <v>0</v>
      </c>
      <c r="G43" s="27">
        <v>19.8</v>
      </c>
      <c r="H43" s="3">
        <f>G43*D43</f>
        <v>1148400</v>
      </c>
      <c r="I43" s="27">
        <f>24.8+G43</f>
        <v>44.6</v>
      </c>
      <c r="J43" s="3">
        <f>+I43*D43</f>
        <v>2586800</v>
      </c>
    </row>
    <row r="44" spans="1:11" ht="15">
      <c r="A44" s="5" t="s">
        <v>29</v>
      </c>
      <c r="B44" s="6" t="s">
        <v>102</v>
      </c>
      <c r="C44" s="5"/>
      <c r="D44" s="7"/>
      <c r="E44" s="8"/>
      <c r="F44" s="7">
        <f>SUM(F38:F43)</f>
        <v>0</v>
      </c>
      <c r="G44" s="7"/>
      <c r="H44" s="7">
        <f>SUM(H38:H43)</f>
        <v>1148400</v>
      </c>
      <c r="I44" s="8"/>
      <c r="J44" s="7">
        <f>SUM(J38:J43)</f>
        <v>3375500</v>
      </c>
    </row>
    <row r="45" spans="1:11">
      <c r="A45" s="14">
        <v>22</v>
      </c>
      <c r="B45" s="9" t="s">
        <v>93</v>
      </c>
      <c r="C45" s="14" t="s">
        <v>76</v>
      </c>
      <c r="D45" s="15">
        <v>15000</v>
      </c>
      <c r="E45" s="16"/>
      <c r="F45" s="15">
        <f>+E45*D45</f>
        <v>0</v>
      </c>
      <c r="G45" s="15">
        <v>223</v>
      </c>
      <c r="H45" s="3">
        <f>G45*D45</f>
        <v>3345000</v>
      </c>
      <c r="I45" s="15">
        <f>1590+G45</f>
        <v>1813</v>
      </c>
      <c r="J45" s="15">
        <f>+I45*D45</f>
        <v>27195000</v>
      </c>
    </row>
    <row r="46" spans="1:11">
      <c r="A46" s="14">
        <v>23</v>
      </c>
      <c r="B46" s="9" t="s">
        <v>103</v>
      </c>
      <c r="C46" s="14" t="s">
        <v>76</v>
      </c>
      <c r="D46" s="15">
        <v>15000</v>
      </c>
      <c r="E46" s="16"/>
      <c r="F46" s="15">
        <f>E46*D46</f>
        <v>0</v>
      </c>
      <c r="G46" s="15">
        <v>188</v>
      </c>
      <c r="H46" s="3">
        <f>G46*D46</f>
        <v>2820000</v>
      </c>
      <c r="I46" s="15">
        <f>1590+G46</f>
        <v>1778</v>
      </c>
      <c r="J46" s="15">
        <f>D46*I46</f>
        <v>26670000</v>
      </c>
    </row>
    <row r="47" spans="1:11" ht="15">
      <c r="A47" s="5" t="s">
        <v>31</v>
      </c>
      <c r="B47" s="6" t="s">
        <v>59</v>
      </c>
      <c r="C47" s="5"/>
      <c r="D47" s="7"/>
      <c r="E47" s="8"/>
      <c r="F47" s="7">
        <f>SUM(F45:F46)</f>
        <v>0</v>
      </c>
      <c r="G47" s="7"/>
      <c r="H47" s="7">
        <f>SUM(H45:H46)</f>
        <v>6165000</v>
      </c>
      <c r="I47" s="8"/>
      <c r="J47" s="7">
        <f>SUM(J45:J46)</f>
        <v>53865000</v>
      </c>
      <c r="K47" s="17"/>
    </row>
    <row r="48" spans="1:11" ht="15">
      <c r="A48" s="5" t="s">
        <v>32</v>
      </c>
      <c r="B48" s="6" t="s">
        <v>104</v>
      </c>
      <c r="C48" s="5"/>
      <c r="D48" s="7"/>
      <c r="E48" s="8"/>
      <c r="F48" s="7">
        <f>+F44+F37+F32+F47</f>
        <v>0</v>
      </c>
      <c r="G48" s="7"/>
      <c r="H48" s="7">
        <f>+H44+H37+H32+H47</f>
        <v>32274050</v>
      </c>
      <c r="I48" s="8"/>
      <c r="J48" s="7" t="e">
        <f>+J44+J37+J32+J47</f>
        <v>#REF!</v>
      </c>
    </row>
    <row r="49" spans="1:10">
      <c r="A49" s="14">
        <v>24</v>
      </c>
      <c r="B49" s="2" t="s">
        <v>20</v>
      </c>
      <c r="C49" s="14" t="s">
        <v>73</v>
      </c>
      <c r="D49" s="4">
        <v>50000</v>
      </c>
      <c r="E49" s="4"/>
      <c r="F49" s="3">
        <f>+E49*D49</f>
        <v>0</v>
      </c>
      <c r="G49" s="3"/>
      <c r="H49" s="3">
        <f>+G49*F49</f>
        <v>0</v>
      </c>
      <c r="I49" s="4">
        <v>40</v>
      </c>
      <c r="J49" s="3">
        <f>+I49*D49</f>
        <v>2000000</v>
      </c>
    </row>
    <row r="50" spans="1:10">
      <c r="A50" s="14">
        <v>25</v>
      </c>
      <c r="B50" s="2" t="s">
        <v>21</v>
      </c>
      <c r="C50" s="14" t="s">
        <v>73</v>
      </c>
      <c r="D50" s="4">
        <v>35000</v>
      </c>
      <c r="E50" s="4"/>
      <c r="F50" s="3">
        <f>+E50*D50</f>
        <v>0</v>
      </c>
      <c r="G50" s="3"/>
      <c r="H50" s="3">
        <f>+G50*F50</f>
        <v>0</v>
      </c>
      <c r="I50" s="4">
        <v>30</v>
      </c>
      <c r="J50" s="3">
        <f>+I50*D50</f>
        <v>1050000</v>
      </c>
    </row>
    <row r="51" spans="1:10">
      <c r="A51" s="14">
        <v>26</v>
      </c>
      <c r="B51" s="2" t="s">
        <v>100</v>
      </c>
      <c r="C51" s="14" t="s">
        <v>72</v>
      </c>
      <c r="D51" s="3">
        <v>17000</v>
      </c>
      <c r="E51" s="4"/>
      <c r="F51" s="3">
        <f>+E51*D51</f>
        <v>0</v>
      </c>
      <c r="G51" s="3"/>
      <c r="H51" s="3">
        <f>+G51*F51</f>
        <v>0</v>
      </c>
      <c r="I51" s="4">
        <v>950</v>
      </c>
      <c r="J51" s="3">
        <f>+I51*D51</f>
        <v>16150000</v>
      </c>
    </row>
    <row r="52" spans="1:10">
      <c r="A52" s="14">
        <v>27</v>
      </c>
      <c r="B52" s="10" t="s">
        <v>6</v>
      </c>
      <c r="C52" s="14" t="s">
        <v>72</v>
      </c>
      <c r="D52" s="3">
        <v>54800</v>
      </c>
      <c r="E52" s="4">
        <f>226+170</f>
        <v>396</v>
      </c>
      <c r="F52" s="3">
        <f>+E52*D52</f>
        <v>21700800</v>
      </c>
      <c r="G52" s="3"/>
      <c r="H52" s="3">
        <f>+G52*F52</f>
        <v>0</v>
      </c>
      <c r="I52" s="4">
        <f>226+170</f>
        <v>396</v>
      </c>
      <c r="J52" s="3">
        <f>+I52*D52</f>
        <v>21700800</v>
      </c>
    </row>
    <row r="53" spans="1:10" ht="15">
      <c r="A53" s="5" t="s">
        <v>33</v>
      </c>
      <c r="B53" s="6" t="s">
        <v>0</v>
      </c>
      <c r="C53" s="11"/>
      <c r="D53" s="7"/>
      <c r="E53" s="8"/>
      <c r="F53" s="7">
        <f>SUM(F49:F52)</f>
        <v>21700800</v>
      </c>
      <c r="G53" s="7"/>
      <c r="H53" s="7">
        <f>SUM(H49:H52)</f>
        <v>0</v>
      </c>
      <c r="I53" s="8"/>
      <c r="J53" s="7">
        <f>SUM(J49:J52)</f>
        <v>40900800</v>
      </c>
    </row>
    <row r="54" spans="1:10">
      <c r="A54" s="14">
        <v>28</v>
      </c>
      <c r="B54" s="2" t="s">
        <v>98</v>
      </c>
      <c r="C54" s="14" t="s">
        <v>96</v>
      </c>
      <c r="D54" s="3">
        <v>500</v>
      </c>
      <c r="E54" s="4"/>
      <c r="F54" s="3">
        <f>+E54*D54</f>
        <v>0</v>
      </c>
      <c r="H54" s="3"/>
      <c r="I54" s="3" t="e">
        <f>6500+#REF!</f>
        <v>#REF!</v>
      </c>
      <c r="J54" s="3" t="e">
        <f>+I54*D54</f>
        <v>#REF!</v>
      </c>
    </row>
    <row r="55" spans="1:10">
      <c r="A55" s="14">
        <v>29</v>
      </c>
      <c r="B55" s="9" t="s">
        <v>97</v>
      </c>
      <c r="C55" s="14" t="s">
        <v>96</v>
      </c>
      <c r="D55" s="3">
        <v>500</v>
      </c>
      <c r="E55" s="4"/>
      <c r="F55" s="3">
        <f>+E55*D55</f>
        <v>0</v>
      </c>
      <c r="G55" s="3">
        <v>543</v>
      </c>
      <c r="H55" s="3">
        <f>D55*G55</f>
        <v>271500</v>
      </c>
      <c r="I55" s="3">
        <f>4552+G55</f>
        <v>5095</v>
      </c>
      <c r="J55" s="3">
        <f>+I55*D55</f>
        <v>2547500</v>
      </c>
    </row>
    <row r="56" spans="1:10">
      <c r="A56" s="14">
        <v>30</v>
      </c>
      <c r="B56" s="9" t="s">
        <v>95</v>
      </c>
      <c r="C56" s="14" t="s">
        <v>96</v>
      </c>
      <c r="D56" s="3">
        <v>500</v>
      </c>
      <c r="E56" s="4">
        <v>1930</v>
      </c>
      <c r="F56" s="3">
        <f>+E56*D56</f>
        <v>965000</v>
      </c>
      <c r="H56" s="3"/>
      <c r="I56" s="3">
        <f>8100+E56+'гүйцэтгэлийн маягт-ГСХ (2)'!G57</f>
        <v>10397</v>
      </c>
      <c r="J56" s="3">
        <f>+I56*D56</f>
        <v>5198500</v>
      </c>
    </row>
    <row r="57" spans="1:10">
      <c r="A57" s="14">
        <v>31</v>
      </c>
      <c r="B57" s="9" t="s">
        <v>94</v>
      </c>
      <c r="C57" s="14" t="s">
        <v>96</v>
      </c>
      <c r="D57" s="3">
        <v>500</v>
      </c>
      <c r="E57" s="4"/>
      <c r="F57" s="3">
        <f>+E57*D57</f>
        <v>0</v>
      </c>
      <c r="G57" s="3">
        <v>367</v>
      </c>
      <c r="H57" s="3">
        <f>G57*D57</f>
        <v>183500</v>
      </c>
      <c r="I57" s="3" t="e">
        <f>8200+#REF!</f>
        <v>#REF!</v>
      </c>
      <c r="J57" s="3" t="e">
        <f>+I57*D57</f>
        <v>#REF!</v>
      </c>
    </row>
    <row r="58" spans="1:10">
      <c r="A58" s="14">
        <v>32</v>
      </c>
      <c r="B58" s="2" t="s">
        <v>99</v>
      </c>
      <c r="C58" s="14" t="s">
        <v>76</v>
      </c>
      <c r="D58" s="3">
        <v>600</v>
      </c>
      <c r="E58" s="4"/>
      <c r="F58" s="3">
        <f>+E58*D58</f>
        <v>0</v>
      </c>
      <c r="G58" s="3"/>
      <c r="H58" s="3">
        <f>+G58*F58</f>
        <v>0</v>
      </c>
      <c r="I58" s="4">
        <v>6700</v>
      </c>
      <c r="J58" s="3">
        <f>+I58*D58</f>
        <v>4020000</v>
      </c>
    </row>
    <row r="59" spans="1:10" ht="15">
      <c r="A59" s="5" t="s">
        <v>34</v>
      </c>
      <c r="B59" s="6" t="s">
        <v>60</v>
      </c>
      <c r="C59" s="5"/>
      <c r="D59" s="7"/>
      <c r="E59" s="12"/>
      <c r="F59" s="7">
        <f>SUM(F54:F58)</f>
        <v>965000</v>
      </c>
      <c r="G59" s="7"/>
      <c r="H59" s="7">
        <f>SUM(H54:H58)</f>
        <v>455000</v>
      </c>
      <c r="I59" s="12"/>
      <c r="J59" s="7" t="e">
        <f>SUM(J54:J58)</f>
        <v>#REF!</v>
      </c>
    </row>
    <row r="60" spans="1:10" ht="15">
      <c r="A60" s="5" t="s">
        <v>35</v>
      </c>
      <c r="B60" s="6" t="s">
        <v>105</v>
      </c>
      <c r="C60" s="5"/>
      <c r="D60" s="7"/>
      <c r="E60" s="8"/>
      <c r="F60" s="7">
        <f>SUM(F24+F48+F53+F59)</f>
        <v>22665800</v>
      </c>
      <c r="G60" s="7"/>
      <c r="H60" s="7">
        <f>SUM(H24+H48+H53+H59)</f>
        <v>32729050</v>
      </c>
      <c r="I60" s="8"/>
      <c r="J60" s="7" t="e">
        <f>SUM(J24+J48+J53+J59)</f>
        <v>#REF!</v>
      </c>
    </row>
    <row r="61" spans="1:10">
      <c r="A61" s="14">
        <v>33</v>
      </c>
      <c r="B61" s="9" t="s">
        <v>109</v>
      </c>
      <c r="C61" s="14" t="s">
        <v>77</v>
      </c>
      <c r="D61" s="3">
        <v>11818</v>
      </c>
      <c r="E61" s="4">
        <v>1035</v>
      </c>
      <c r="F61" s="19">
        <f>+E61*D61</f>
        <v>12231630</v>
      </c>
      <c r="G61" s="19">
        <v>827</v>
      </c>
      <c r="H61" s="19">
        <f>G61*D61</f>
        <v>9773486</v>
      </c>
      <c r="I61" s="28">
        <f>1035+G61</f>
        <v>1862</v>
      </c>
      <c r="J61" s="4">
        <f>+I61*D61</f>
        <v>22005116</v>
      </c>
    </row>
    <row r="62" spans="1:10">
      <c r="A62" s="14">
        <v>34</v>
      </c>
      <c r="B62" s="2" t="s">
        <v>63</v>
      </c>
      <c r="C62" s="14" t="s">
        <v>77</v>
      </c>
      <c r="D62" s="3">
        <v>16000</v>
      </c>
      <c r="E62" s="4">
        <v>44</v>
      </c>
      <c r="F62" s="4">
        <f>+E62*D62</f>
        <v>704000</v>
      </c>
      <c r="G62" s="4"/>
      <c r="H62" s="4">
        <f>+G62*F62</f>
        <v>0</v>
      </c>
      <c r="I62" s="4">
        <v>75</v>
      </c>
      <c r="J62" s="4">
        <f>+I62*D62</f>
        <v>1200000</v>
      </c>
    </row>
    <row r="63" spans="1:10">
      <c r="A63" s="14">
        <v>35</v>
      </c>
      <c r="B63" s="18" t="s">
        <v>106</v>
      </c>
      <c r="C63" s="22" t="s">
        <v>77</v>
      </c>
      <c r="D63" s="3">
        <v>9600</v>
      </c>
      <c r="E63" s="4">
        <v>44</v>
      </c>
      <c r="F63" s="4">
        <f t="shared" ref="F63:H69" si="2">+E63*D63</f>
        <v>422400</v>
      </c>
      <c r="G63" s="4"/>
      <c r="H63" s="4">
        <f t="shared" si="2"/>
        <v>0</v>
      </c>
      <c r="I63" s="4">
        <v>75</v>
      </c>
      <c r="J63" s="4">
        <f t="shared" ref="J63:J69" si="3">+I63*D63</f>
        <v>720000</v>
      </c>
    </row>
    <row r="64" spans="1:10">
      <c r="A64" s="14">
        <v>36</v>
      </c>
      <c r="B64" s="2" t="s">
        <v>22</v>
      </c>
      <c r="C64" s="14" t="s">
        <v>77</v>
      </c>
      <c r="D64" s="3">
        <v>10400</v>
      </c>
      <c r="E64" s="4">
        <v>19</v>
      </c>
      <c r="F64" s="4">
        <f t="shared" si="2"/>
        <v>197600</v>
      </c>
      <c r="G64" s="4"/>
      <c r="H64" s="4">
        <f t="shared" si="2"/>
        <v>0</v>
      </c>
      <c r="I64" s="4">
        <v>50</v>
      </c>
      <c r="J64" s="4">
        <f t="shared" si="3"/>
        <v>520000</v>
      </c>
    </row>
    <row r="65" spans="1:11">
      <c r="A65" s="14">
        <v>37</v>
      </c>
      <c r="B65" s="2" t="s">
        <v>110</v>
      </c>
      <c r="C65" s="14" t="s">
        <v>77</v>
      </c>
      <c r="D65" s="3">
        <v>21540</v>
      </c>
      <c r="E65" s="4">
        <v>132</v>
      </c>
      <c r="F65" s="4">
        <f t="shared" si="2"/>
        <v>2843280</v>
      </c>
      <c r="G65" s="4"/>
      <c r="H65" s="4">
        <f t="shared" si="2"/>
        <v>0</v>
      </c>
      <c r="I65" s="4">
        <v>132</v>
      </c>
      <c r="J65" s="4">
        <f t="shared" si="3"/>
        <v>2843280</v>
      </c>
    </row>
    <row r="66" spans="1:11">
      <c r="A66" s="14">
        <v>38</v>
      </c>
      <c r="B66" s="2" t="s">
        <v>111</v>
      </c>
      <c r="C66" s="14" t="s">
        <v>77</v>
      </c>
      <c r="D66" s="3">
        <v>14910</v>
      </c>
      <c r="E66" s="4">
        <v>1035</v>
      </c>
      <c r="F66" s="4">
        <f t="shared" si="2"/>
        <v>15431850</v>
      </c>
      <c r="G66" s="4">
        <v>827</v>
      </c>
      <c r="H66" s="19">
        <f>G66*D66</f>
        <v>12330570</v>
      </c>
      <c r="I66" s="4">
        <f>1035+G66</f>
        <v>1862</v>
      </c>
      <c r="J66" s="4">
        <f t="shared" si="3"/>
        <v>27762420</v>
      </c>
    </row>
    <row r="67" spans="1:11">
      <c r="A67" s="14">
        <v>39</v>
      </c>
      <c r="B67" s="2" t="s">
        <v>112</v>
      </c>
      <c r="C67" s="14" t="s">
        <v>77</v>
      </c>
      <c r="D67" s="3">
        <v>6000</v>
      </c>
      <c r="E67" s="4">
        <v>132</v>
      </c>
      <c r="F67" s="4">
        <f t="shared" si="2"/>
        <v>792000</v>
      </c>
      <c r="G67" s="4"/>
      <c r="H67" s="4">
        <f t="shared" si="2"/>
        <v>0</v>
      </c>
      <c r="I67" s="4">
        <v>132</v>
      </c>
      <c r="J67" s="4">
        <f t="shared" si="3"/>
        <v>792000</v>
      </c>
    </row>
    <row r="68" spans="1:11">
      <c r="A68" s="14">
        <v>40</v>
      </c>
      <c r="B68" s="2" t="s">
        <v>113</v>
      </c>
      <c r="C68" s="14" t="s">
        <v>77</v>
      </c>
      <c r="D68" s="3">
        <v>4080</v>
      </c>
      <c r="E68" s="4">
        <v>1035</v>
      </c>
      <c r="F68" s="3">
        <f t="shared" si="2"/>
        <v>4222800</v>
      </c>
      <c r="G68" s="3">
        <v>827</v>
      </c>
      <c r="H68" s="19">
        <f>G68*D68</f>
        <v>3374160</v>
      </c>
      <c r="I68" s="3">
        <f>1035+G68</f>
        <v>1862</v>
      </c>
      <c r="J68" s="3">
        <f t="shared" si="3"/>
        <v>7596960</v>
      </c>
    </row>
    <row r="69" spans="1:11">
      <c r="A69" s="14">
        <v>41</v>
      </c>
      <c r="B69" s="2" t="s">
        <v>114</v>
      </c>
      <c r="C69" s="14" t="s">
        <v>77</v>
      </c>
      <c r="D69" s="3">
        <v>14400</v>
      </c>
      <c r="E69" s="4">
        <v>22</v>
      </c>
      <c r="F69" s="3">
        <f t="shared" si="2"/>
        <v>316800</v>
      </c>
      <c r="G69" s="3"/>
      <c r="H69" s="3">
        <f t="shared" si="2"/>
        <v>0</v>
      </c>
      <c r="I69" s="4">
        <v>22</v>
      </c>
      <c r="J69" s="3">
        <f t="shared" si="3"/>
        <v>316800</v>
      </c>
    </row>
    <row r="70" spans="1:11" ht="14.25" customHeight="1">
      <c r="A70" s="5" t="s">
        <v>36</v>
      </c>
      <c r="B70" s="13" t="s">
        <v>61</v>
      </c>
      <c r="C70" s="5"/>
      <c r="D70" s="7"/>
      <c r="E70" s="8"/>
      <c r="F70" s="7">
        <f>SUM(F61:F69)</f>
        <v>37162360</v>
      </c>
      <c r="G70" s="7"/>
      <c r="H70" s="7">
        <f>SUM(H61:H69)</f>
        <v>25478216</v>
      </c>
      <c r="I70" s="8"/>
      <c r="J70" s="7">
        <f>SUM(J61:J69)</f>
        <v>63756576</v>
      </c>
      <c r="K70" s="20"/>
    </row>
    <row r="71" spans="1:11">
      <c r="A71" s="14">
        <v>42</v>
      </c>
      <c r="B71" s="2" t="s">
        <v>30</v>
      </c>
      <c r="C71" s="14"/>
      <c r="D71" s="3"/>
      <c r="E71" s="4"/>
      <c r="F71" s="4"/>
      <c r="G71" s="4"/>
      <c r="H71" s="4"/>
      <c r="I71" s="4"/>
      <c r="J71" s="4"/>
    </row>
    <row r="72" spans="1:11">
      <c r="A72" s="14">
        <v>43</v>
      </c>
      <c r="B72" s="2" t="s">
        <v>23</v>
      </c>
      <c r="C72" s="14" t="s">
        <v>79</v>
      </c>
      <c r="D72" s="3">
        <v>250000</v>
      </c>
      <c r="E72" s="4">
        <v>1</v>
      </c>
      <c r="F72" s="3">
        <f>D72*E72</f>
        <v>250000</v>
      </c>
      <c r="G72" s="3"/>
      <c r="H72" s="3">
        <f>F72*G72</f>
        <v>0</v>
      </c>
      <c r="I72" s="4">
        <v>6</v>
      </c>
      <c r="J72" s="3">
        <f>+I72*D72</f>
        <v>1500000</v>
      </c>
      <c r="K72" s="21"/>
    </row>
    <row r="73" spans="1:11">
      <c r="A73" s="14">
        <v>44</v>
      </c>
      <c r="B73" s="2" t="s">
        <v>58</v>
      </c>
      <c r="C73" s="14"/>
      <c r="D73" s="3"/>
      <c r="E73" s="4"/>
      <c r="F73" s="4"/>
      <c r="G73" s="4"/>
      <c r="H73" s="4"/>
      <c r="I73" s="4"/>
      <c r="J73" s="4"/>
    </row>
    <row r="74" spans="1:11" ht="15">
      <c r="A74" s="5" t="s">
        <v>37</v>
      </c>
      <c r="B74" s="6" t="s">
        <v>62</v>
      </c>
      <c r="C74" s="5"/>
      <c r="D74" s="7"/>
      <c r="E74" s="8"/>
      <c r="F74" s="7">
        <f>SUM(F71:F73)</f>
        <v>250000</v>
      </c>
      <c r="G74" s="7"/>
      <c r="H74" s="7">
        <f>SUM(H71:H73)</f>
        <v>0</v>
      </c>
      <c r="I74" s="8"/>
      <c r="J74" s="7">
        <f>SUM(J71:J73)</f>
        <v>1500000</v>
      </c>
    </row>
    <row r="75" spans="1:11" ht="15">
      <c r="A75" s="5" t="s">
        <v>38</v>
      </c>
      <c r="B75" s="6" t="s">
        <v>42</v>
      </c>
      <c r="C75" s="5"/>
      <c r="D75" s="7"/>
      <c r="E75" s="8"/>
      <c r="F75" s="7">
        <f>+F74+F70</f>
        <v>37412360</v>
      </c>
      <c r="G75" s="7"/>
      <c r="H75" s="7">
        <f>+H74+H70</f>
        <v>25478216</v>
      </c>
      <c r="I75" s="8"/>
      <c r="J75" s="7">
        <f>+J74+J70</f>
        <v>65256576</v>
      </c>
    </row>
    <row r="76" spans="1:11" ht="15">
      <c r="A76" s="5" t="s">
        <v>39</v>
      </c>
      <c r="B76" s="6" t="s">
        <v>43</v>
      </c>
      <c r="C76" s="5"/>
      <c r="D76" s="7"/>
      <c r="E76" s="8"/>
      <c r="F76" s="7">
        <f>+F75+F60</f>
        <v>60078160</v>
      </c>
      <c r="G76" s="7"/>
      <c r="H76" s="7">
        <f>+H75+H60</f>
        <v>58207266</v>
      </c>
      <c r="I76" s="8"/>
      <c r="J76" s="7" t="e">
        <f>+J75+J60</f>
        <v>#REF!</v>
      </c>
    </row>
    <row r="77" spans="1:11" ht="15">
      <c r="A77" s="5" t="s">
        <v>40</v>
      </c>
      <c r="B77" s="6" t="s">
        <v>24</v>
      </c>
      <c r="C77" s="5"/>
      <c r="D77" s="7"/>
      <c r="E77" s="8"/>
      <c r="F77" s="7">
        <f>+F76/10</f>
        <v>6007816</v>
      </c>
      <c r="G77" s="7"/>
      <c r="H77" s="7">
        <f>+H76/10</f>
        <v>5820726.5999999996</v>
      </c>
      <c r="I77" s="8"/>
      <c r="J77" s="7" t="e">
        <f>+J76/100*10</f>
        <v>#REF!</v>
      </c>
    </row>
    <row r="78" spans="1:11" ht="15">
      <c r="A78" s="5" t="s">
        <v>41</v>
      </c>
      <c r="B78" s="6" t="s">
        <v>44</v>
      </c>
      <c r="C78" s="5"/>
      <c r="D78" s="7"/>
      <c r="E78" s="8"/>
      <c r="F78" s="7">
        <f>+F76+F77</f>
        <v>66085976</v>
      </c>
      <c r="G78" s="7"/>
      <c r="H78" s="7">
        <f>+H76+H77</f>
        <v>64027992.600000001</v>
      </c>
      <c r="I78" s="8"/>
      <c r="J78" s="7" t="e">
        <f>+J76+J77</f>
        <v>#REF!</v>
      </c>
      <c r="K78" s="17"/>
    </row>
    <row r="79" spans="1:11" ht="15">
      <c r="B79" s="1" t="s">
        <v>7</v>
      </c>
      <c r="H79" s="20">
        <v>66409492.600000001</v>
      </c>
    </row>
    <row r="80" spans="1:11">
      <c r="B80" t="s">
        <v>87</v>
      </c>
      <c r="H80" s="21">
        <f>H79-H78</f>
        <v>2381500</v>
      </c>
      <c r="I80" s="113" t="s">
        <v>83</v>
      </c>
      <c r="J80" s="113"/>
      <c r="K80" s="17"/>
    </row>
    <row r="81" spans="2:10">
      <c r="B81" t="s">
        <v>86</v>
      </c>
      <c r="H81" s="29">
        <f>H80/1.1</f>
        <v>2165000</v>
      </c>
      <c r="I81" s="113" t="s">
        <v>84</v>
      </c>
      <c r="J81" s="113"/>
    </row>
    <row r="82" spans="2:10">
      <c r="B82" t="s">
        <v>88</v>
      </c>
      <c r="I82" s="113" t="s">
        <v>85</v>
      </c>
      <c r="J82" s="113"/>
    </row>
    <row r="83" spans="2:10" ht="15">
      <c r="B83" s="1" t="s">
        <v>1</v>
      </c>
    </row>
    <row r="84" spans="2:10">
      <c r="B84" t="s">
        <v>50</v>
      </c>
      <c r="I84" t="s">
        <v>68</v>
      </c>
    </row>
    <row r="85" spans="2:10">
      <c r="B85" t="s">
        <v>53</v>
      </c>
      <c r="I85" t="s">
        <v>69</v>
      </c>
    </row>
    <row r="86" spans="2:10" ht="15">
      <c r="B86" s="1" t="s">
        <v>2</v>
      </c>
    </row>
    <row r="87" spans="2:10">
      <c r="B87" t="s">
        <v>51</v>
      </c>
      <c r="I87" s="114" t="s">
        <v>67</v>
      </c>
      <c r="J87" s="114"/>
    </row>
    <row r="88" spans="2:10">
      <c r="B88" t="s">
        <v>52</v>
      </c>
      <c r="I88" t="s">
        <v>70</v>
      </c>
    </row>
  </sheetData>
  <mergeCells count="18">
    <mergeCell ref="I80:J80"/>
    <mergeCell ref="I81:J81"/>
    <mergeCell ref="I82:J82"/>
    <mergeCell ref="I87:J87"/>
    <mergeCell ref="G17:H17"/>
    <mergeCell ref="A15:J15"/>
    <mergeCell ref="A17:A18"/>
    <mergeCell ref="B17:B18"/>
    <mergeCell ref="C17:C18"/>
    <mergeCell ref="D17:D18"/>
    <mergeCell ref="E17:F17"/>
    <mergeCell ref="I17:J17"/>
    <mergeCell ref="A13:J13"/>
    <mergeCell ref="A2:J2"/>
    <mergeCell ref="A3:J3"/>
    <mergeCell ref="A4:J4"/>
    <mergeCell ref="B8:J8"/>
    <mergeCell ref="B10:J10"/>
  </mergeCells>
  <printOptions horizontalCentered="1"/>
  <pageMargins left="0.78740157480314965" right="0.59055118110236227" top="0.78740157480314965" bottom="0.59055118110236227" header="0.31496062992125984" footer="0.31496062992125984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9414-5DC1-4453-8675-A4E72BD5BA5B}">
  <sheetPr>
    <pageSetUpPr fitToPage="1"/>
  </sheetPr>
  <dimension ref="A1:J134"/>
  <sheetViews>
    <sheetView zoomScaleNormal="100" zoomScaleSheetLayoutView="55" workbookViewId="0">
      <pane xSplit="5" ySplit="3" topLeftCell="F4" activePane="bottomRight" state="frozen"/>
      <selection pane="topRight" activeCell="F1" sqref="F1"/>
      <selection pane="bottomLeft" activeCell="A8" sqref="A8"/>
      <selection pane="bottomRight" activeCell="P13" sqref="P13"/>
    </sheetView>
  </sheetViews>
  <sheetFormatPr defaultColWidth="7.75" defaultRowHeight="10.5"/>
  <cols>
    <col min="1" max="1" width="2.5" style="102" bestFit="1" customWidth="1"/>
    <col min="2" max="2" width="2.375" style="102" customWidth="1"/>
    <col min="3" max="3" width="43.75" style="96" customWidth="1"/>
    <col min="4" max="4" width="7" style="102" customWidth="1"/>
    <col min="5" max="5" width="11.25" style="102" customWidth="1"/>
    <col min="6" max="6" width="12.75" style="70" customWidth="1"/>
    <col min="7" max="7" width="13.125" style="70" customWidth="1"/>
    <col min="8" max="8" width="12.25" style="70" bestFit="1" customWidth="1"/>
    <col min="9" max="16384" width="7.75" style="70"/>
  </cols>
  <sheetData>
    <row r="1" spans="1:8" ht="22.5" customHeight="1">
      <c r="A1" s="125" t="s">
        <v>148</v>
      </c>
      <c r="B1" s="125" t="s">
        <v>149</v>
      </c>
      <c r="C1" s="125"/>
      <c r="D1" s="125" t="s">
        <v>45</v>
      </c>
      <c r="E1" s="125" t="s">
        <v>46</v>
      </c>
      <c r="F1" s="125" t="s">
        <v>150</v>
      </c>
      <c r="G1" s="125"/>
    </row>
    <row r="2" spans="1:8">
      <c r="A2" s="125"/>
      <c r="B2" s="125"/>
      <c r="C2" s="125"/>
      <c r="D2" s="125"/>
      <c r="E2" s="125"/>
      <c r="F2" s="73" t="s">
        <v>151</v>
      </c>
      <c r="G2" s="74" t="s">
        <v>152</v>
      </c>
    </row>
    <row r="3" spans="1:8" ht="11.25">
      <c r="A3" s="75">
        <v>0</v>
      </c>
      <c r="B3" s="124">
        <v>1</v>
      </c>
      <c r="C3" s="124"/>
      <c r="D3" s="75">
        <v>2</v>
      </c>
      <c r="E3" s="75">
        <v>3</v>
      </c>
      <c r="F3" s="75">
        <v>8</v>
      </c>
      <c r="G3" s="76">
        <v>9</v>
      </c>
    </row>
    <row r="4" spans="1:8" ht="11.25">
      <c r="A4" s="77">
        <v>1</v>
      </c>
      <c r="B4" s="117" t="s">
        <v>153</v>
      </c>
      <c r="C4" s="117"/>
      <c r="D4" s="77" t="s">
        <v>72</v>
      </c>
      <c r="E4" s="78">
        <v>56000</v>
      </c>
      <c r="F4" s="79">
        <v>24</v>
      </c>
      <c r="G4" s="79">
        <v>1344000</v>
      </c>
    </row>
    <row r="5" spans="1:8" ht="11.25">
      <c r="A5" s="77">
        <v>2</v>
      </c>
      <c r="B5" s="117" t="s">
        <v>154</v>
      </c>
      <c r="C5" s="117"/>
      <c r="D5" s="77" t="s">
        <v>73</v>
      </c>
      <c r="E5" s="78">
        <v>49000</v>
      </c>
      <c r="F5" s="79">
        <v>30</v>
      </c>
      <c r="G5" s="79">
        <v>1470000</v>
      </c>
    </row>
    <row r="6" spans="1:8" ht="11.25">
      <c r="A6" s="77">
        <v>3</v>
      </c>
      <c r="B6" s="117" t="s">
        <v>155</v>
      </c>
      <c r="C6" s="117"/>
      <c r="D6" s="77" t="s">
        <v>72</v>
      </c>
      <c r="E6" s="78">
        <v>79600</v>
      </c>
      <c r="F6" s="79"/>
      <c r="G6" s="79">
        <v>0</v>
      </c>
    </row>
    <row r="7" spans="1:8" ht="11.25">
      <c r="A7" s="77">
        <v>4</v>
      </c>
      <c r="B7" s="117" t="s">
        <v>74</v>
      </c>
      <c r="C7" s="117"/>
      <c r="D7" s="77" t="s">
        <v>72</v>
      </c>
      <c r="E7" s="78">
        <v>58500</v>
      </c>
      <c r="F7" s="79"/>
      <c r="G7" s="79">
        <v>0</v>
      </c>
    </row>
    <row r="8" spans="1:8" ht="11.25">
      <c r="A8" s="119" t="s">
        <v>156</v>
      </c>
      <c r="B8" s="119"/>
      <c r="C8" s="119"/>
      <c r="D8" s="80"/>
      <c r="E8" s="81"/>
      <c r="F8" s="82"/>
      <c r="G8" s="81">
        <v>2814000</v>
      </c>
    </row>
    <row r="9" spans="1:8" ht="11.25">
      <c r="A9" s="77">
        <v>5</v>
      </c>
      <c r="B9" s="117" t="s">
        <v>157</v>
      </c>
      <c r="C9" s="117"/>
      <c r="D9" s="77" t="s">
        <v>158</v>
      </c>
      <c r="E9" s="78">
        <v>48600</v>
      </c>
      <c r="F9" s="83"/>
      <c r="G9" s="79">
        <v>0</v>
      </c>
    </row>
    <row r="10" spans="1:8" ht="11.25">
      <c r="A10" s="77">
        <f>+A9+1</f>
        <v>6</v>
      </c>
      <c r="B10" s="117" t="s">
        <v>11</v>
      </c>
      <c r="C10" s="117"/>
      <c r="D10" s="77" t="s">
        <v>76</v>
      </c>
      <c r="E10" s="78">
        <v>34000</v>
      </c>
      <c r="F10" s="83"/>
      <c r="G10" s="79">
        <v>0</v>
      </c>
    </row>
    <row r="11" spans="1:8" ht="11.25">
      <c r="A11" s="77">
        <f t="shared" ref="A11:A14" si="0">+A10+1</f>
        <v>7</v>
      </c>
      <c r="B11" s="117" t="s">
        <v>4</v>
      </c>
      <c r="C11" s="117"/>
      <c r="D11" s="77" t="s">
        <v>76</v>
      </c>
      <c r="E11" s="78">
        <v>41000</v>
      </c>
      <c r="F11" s="79">
        <v>61</v>
      </c>
      <c r="G11" s="79">
        <v>2501000</v>
      </c>
    </row>
    <row r="12" spans="1:8" ht="11.25">
      <c r="A12" s="77">
        <f t="shared" si="0"/>
        <v>8</v>
      </c>
      <c r="B12" s="117" t="s">
        <v>12</v>
      </c>
      <c r="C12" s="117"/>
      <c r="D12" s="77" t="s">
        <v>77</v>
      </c>
      <c r="E12" s="78">
        <v>19900</v>
      </c>
      <c r="F12" s="79">
        <v>70</v>
      </c>
      <c r="G12" s="79">
        <v>1393000</v>
      </c>
    </row>
    <row r="13" spans="1:8" ht="11.25">
      <c r="A13" s="77">
        <f t="shared" si="0"/>
        <v>9</v>
      </c>
      <c r="B13" s="117" t="s">
        <v>159</v>
      </c>
      <c r="C13" s="117"/>
      <c r="D13" s="77" t="s">
        <v>77</v>
      </c>
      <c r="E13" s="78">
        <v>4250</v>
      </c>
      <c r="F13" s="79">
        <v>418</v>
      </c>
      <c r="G13" s="79">
        <v>1776500</v>
      </c>
      <c r="H13" s="70" t="s">
        <v>160</v>
      </c>
    </row>
    <row r="14" spans="1:8" ht="11.25">
      <c r="A14" s="77">
        <f t="shared" si="0"/>
        <v>10</v>
      </c>
      <c r="B14" s="117" t="s">
        <v>161</v>
      </c>
      <c r="C14" s="117"/>
      <c r="D14" s="77" t="s">
        <v>77</v>
      </c>
      <c r="E14" s="78">
        <v>5850</v>
      </c>
      <c r="F14" s="79">
        <v>70</v>
      </c>
      <c r="G14" s="79">
        <v>409500</v>
      </c>
    </row>
    <row r="15" spans="1:8" ht="11.25">
      <c r="A15" s="77">
        <f>+A14+1</f>
        <v>11</v>
      </c>
      <c r="B15" s="117" t="s">
        <v>162</v>
      </c>
      <c r="C15" s="117"/>
      <c r="D15" s="77" t="s">
        <v>77</v>
      </c>
      <c r="E15" s="78">
        <v>5850</v>
      </c>
      <c r="F15" s="79">
        <v>500</v>
      </c>
      <c r="G15" s="79">
        <v>2925000</v>
      </c>
    </row>
    <row r="16" spans="1:8" ht="11.25">
      <c r="A16" s="119" t="s">
        <v>163</v>
      </c>
      <c r="B16" s="119"/>
      <c r="C16" s="119"/>
      <c r="D16" s="80"/>
      <c r="E16" s="81"/>
      <c r="F16" s="82"/>
      <c r="G16" s="81">
        <v>9005000</v>
      </c>
    </row>
    <row r="17" spans="1:7" ht="11.25">
      <c r="A17" s="77">
        <f>+A15+1</f>
        <v>12</v>
      </c>
      <c r="B17" s="117" t="s">
        <v>15</v>
      </c>
      <c r="C17" s="117"/>
      <c r="D17" s="77" t="s">
        <v>164</v>
      </c>
      <c r="E17" s="78">
        <v>16500</v>
      </c>
      <c r="F17" s="79">
        <v>249.4</v>
      </c>
      <c r="G17" s="79">
        <v>4115100</v>
      </c>
    </row>
    <row r="18" spans="1:7" ht="11.25">
      <c r="A18" s="77">
        <f>+A17+1</f>
        <v>13</v>
      </c>
      <c r="B18" s="117" t="s">
        <v>165</v>
      </c>
      <c r="C18" s="117"/>
      <c r="D18" s="77" t="s">
        <v>125</v>
      </c>
      <c r="E18" s="78">
        <v>13500</v>
      </c>
      <c r="F18" s="79">
        <v>104.8</v>
      </c>
      <c r="G18" s="79">
        <v>1414800</v>
      </c>
    </row>
    <row r="19" spans="1:7" ht="11.25">
      <c r="A19" s="77">
        <f>+A18+1</f>
        <v>14</v>
      </c>
      <c r="B19" s="117" t="s">
        <v>129</v>
      </c>
      <c r="C19" s="117"/>
      <c r="D19" s="77" t="s">
        <v>125</v>
      </c>
      <c r="E19" s="78">
        <v>9500</v>
      </c>
      <c r="F19" s="79">
        <v>98</v>
      </c>
      <c r="G19" s="79">
        <v>931000</v>
      </c>
    </row>
    <row r="20" spans="1:7" ht="11.25">
      <c r="A20" s="77">
        <f>+A19+1</f>
        <v>15</v>
      </c>
      <c r="B20" s="117" t="s">
        <v>166</v>
      </c>
      <c r="C20" s="117"/>
      <c r="D20" s="77" t="s">
        <v>164</v>
      </c>
      <c r="E20" s="78">
        <v>7500</v>
      </c>
      <c r="F20" s="79">
        <v>381.1</v>
      </c>
      <c r="G20" s="79">
        <v>2858250</v>
      </c>
    </row>
    <row r="21" spans="1:7" ht="11.25">
      <c r="A21" s="77">
        <f>+A20+1</f>
        <v>16</v>
      </c>
      <c r="B21" s="117" t="s">
        <v>167</v>
      </c>
      <c r="C21" s="117"/>
      <c r="D21" s="77" t="s">
        <v>167</v>
      </c>
      <c r="E21" s="78">
        <v>1200</v>
      </c>
      <c r="F21" s="79">
        <v>70</v>
      </c>
      <c r="G21" s="79">
        <v>84000</v>
      </c>
    </row>
    <row r="22" spans="1:7" ht="11.25">
      <c r="A22" s="119" t="s">
        <v>168</v>
      </c>
      <c r="B22" s="119"/>
      <c r="C22" s="119"/>
      <c r="D22" s="80"/>
      <c r="E22" s="81"/>
      <c r="F22" s="82"/>
      <c r="G22" s="81">
        <v>9403150</v>
      </c>
    </row>
    <row r="23" spans="1:7" ht="11.25">
      <c r="A23" s="77">
        <f>+A21+1</f>
        <v>17</v>
      </c>
      <c r="B23" s="117" t="s">
        <v>130</v>
      </c>
      <c r="C23" s="117"/>
      <c r="D23" s="77" t="s">
        <v>77</v>
      </c>
      <c r="E23" s="78">
        <v>6200</v>
      </c>
      <c r="F23" s="79">
        <v>79</v>
      </c>
      <c r="G23" s="79">
        <v>489800</v>
      </c>
    </row>
    <row r="24" spans="1:7" ht="11.25">
      <c r="A24" s="77">
        <f>+A23+1</f>
        <v>18</v>
      </c>
      <c r="B24" s="117" t="s">
        <v>169</v>
      </c>
      <c r="C24" s="117"/>
      <c r="D24" s="77" t="s">
        <v>77</v>
      </c>
      <c r="E24" s="78">
        <v>8200</v>
      </c>
      <c r="F24" s="79">
        <v>77</v>
      </c>
      <c r="G24" s="79">
        <v>631400</v>
      </c>
    </row>
    <row r="25" spans="1:7" ht="11.25">
      <c r="A25" s="77">
        <f>+A24+1</f>
        <v>19</v>
      </c>
      <c r="B25" s="117" t="s">
        <v>170</v>
      </c>
      <c r="C25" s="117"/>
      <c r="D25" s="77" t="s">
        <v>77</v>
      </c>
      <c r="E25" s="78">
        <v>6200</v>
      </c>
      <c r="F25" s="79">
        <v>301</v>
      </c>
      <c r="G25" s="79">
        <v>1866200</v>
      </c>
    </row>
    <row r="26" spans="1:7" ht="11.25">
      <c r="A26" s="77">
        <f>+A25+1</f>
        <v>20</v>
      </c>
      <c r="B26" s="117" t="s">
        <v>171</v>
      </c>
      <c r="C26" s="117"/>
      <c r="D26" s="77" t="s">
        <v>77</v>
      </c>
      <c r="E26" s="78">
        <v>6500</v>
      </c>
      <c r="F26" s="79">
        <v>71</v>
      </c>
      <c r="G26" s="79">
        <v>461500</v>
      </c>
    </row>
    <row r="27" spans="1:7" ht="11.25">
      <c r="A27" s="77">
        <f>+A26+1</f>
        <v>21</v>
      </c>
      <c r="B27" s="117" t="s">
        <v>172</v>
      </c>
      <c r="C27" s="117"/>
      <c r="D27" s="77" t="s">
        <v>77</v>
      </c>
      <c r="E27" s="78">
        <v>14000</v>
      </c>
      <c r="F27" s="79">
        <v>4</v>
      </c>
      <c r="G27" s="79">
        <v>56000</v>
      </c>
    </row>
    <row r="28" spans="1:7" ht="11.25">
      <c r="A28" s="77">
        <f t="shared" ref="A28:A39" si="1">+A27+1</f>
        <v>22</v>
      </c>
      <c r="B28" s="117" t="s">
        <v>173</v>
      </c>
      <c r="C28" s="117"/>
      <c r="D28" s="77" t="s">
        <v>77</v>
      </c>
      <c r="E28" s="78">
        <v>32000</v>
      </c>
      <c r="F28" s="79">
        <v>4</v>
      </c>
      <c r="G28" s="79">
        <v>128000</v>
      </c>
    </row>
    <row r="29" spans="1:7" ht="11.25">
      <c r="A29" s="77">
        <f t="shared" si="1"/>
        <v>23</v>
      </c>
      <c r="B29" s="117" t="s">
        <v>174</v>
      </c>
      <c r="C29" s="117"/>
      <c r="D29" s="77" t="s">
        <v>77</v>
      </c>
      <c r="E29" s="78">
        <v>16000</v>
      </c>
      <c r="F29" s="79">
        <v>4</v>
      </c>
      <c r="G29" s="79">
        <v>64000</v>
      </c>
    </row>
    <row r="30" spans="1:7" ht="11.25">
      <c r="A30" s="77">
        <f t="shared" si="1"/>
        <v>24</v>
      </c>
      <c r="B30" s="117" t="s">
        <v>175</v>
      </c>
      <c r="C30" s="117"/>
      <c r="D30" s="77" t="s">
        <v>77</v>
      </c>
      <c r="E30" s="78">
        <v>5500</v>
      </c>
      <c r="F30" s="79">
        <v>222</v>
      </c>
      <c r="G30" s="79">
        <v>1221000</v>
      </c>
    </row>
    <row r="31" spans="1:7" ht="11.25">
      <c r="A31" s="77">
        <f t="shared" si="1"/>
        <v>25</v>
      </c>
      <c r="B31" s="117" t="s">
        <v>176</v>
      </c>
      <c r="C31" s="117"/>
      <c r="D31" s="77" t="s">
        <v>164</v>
      </c>
      <c r="E31" s="78">
        <v>58000</v>
      </c>
      <c r="F31" s="79">
        <v>5.34</v>
      </c>
      <c r="G31" s="79">
        <v>309720</v>
      </c>
    </row>
    <row r="32" spans="1:7" ht="11.25">
      <c r="A32" s="77">
        <f t="shared" si="1"/>
        <v>26</v>
      </c>
      <c r="B32" s="117" t="s">
        <v>91</v>
      </c>
      <c r="C32" s="117"/>
      <c r="D32" s="77" t="s">
        <v>164</v>
      </c>
      <c r="E32" s="78">
        <v>58000</v>
      </c>
      <c r="F32" s="79">
        <v>1.776</v>
      </c>
      <c r="G32" s="79">
        <v>103008</v>
      </c>
    </row>
    <row r="33" spans="1:7" ht="11.25">
      <c r="A33" s="77">
        <f t="shared" si="1"/>
        <v>27</v>
      </c>
      <c r="B33" s="117" t="s">
        <v>135</v>
      </c>
      <c r="C33" s="117"/>
      <c r="D33" s="77" t="s">
        <v>77</v>
      </c>
      <c r="E33" s="78">
        <v>12000</v>
      </c>
      <c r="F33" s="79">
        <v>4</v>
      </c>
      <c r="G33" s="79">
        <v>48000</v>
      </c>
    </row>
    <row r="34" spans="1:7" ht="11.25">
      <c r="A34" s="77">
        <f t="shared" si="1"/>
        <v>28</v>
      </c>
      <c r="B34" s="117" t="s">
        <v>89</v>
      </c>
      <c r="C34" s="117"/>
      <c r="D34" s="77" t="s">
        <v>77</v>
      </c>
      <c r="E34" s="78">
        <v>6300</v>
      </c>
      <c r="F34" s="79">
        <v>231</v>
      </c>
      <c r="G34" s="79">
        <v>1455300</v>
      </c>
    </row>
    <row r="35" spans="1:7" ht="11.25">
      <c r="A35" s="77">
        <f t="shared" si="1"/>
        <v>29</v>
      </c>
      <c r="B35" s="117" t="s">
        <v>136</v>
      </c>
      <c r="C35" s="117"/>
      <c r="D35" s="77" t="s">
        <v>77</v>
      </c>
      <c r="E35" s="78">
        <v>6300</v>
      </c>
      <c r="F35" s="79">
        <v>10</v>
      </c>
      <c r="G35" s="79">
        <v>63000</v>
      </c>
    </row>
    <row r="36" spans="1:7" ht="11.25">
      <c r="A36" s="77">
        <f t="shared" si="1"/>
        <v>30</v>
      </c>
      <c r="B36" s="117" t="s">
        <v>177</v>
      </c>
      <c r="C36" s="117"/>
      <c r="D36" s="77" t="s">
        <v>77</v>
      </c>
      <c r="E36" s="78">
        <v>7500</v>
      </c>
      <c r="F36" s="79">
        <v>30</v>
      </c>
      <c r="G36" s="79">
        <v>225000</v>
      </c>
    </row>
    <row r="37" spans="1:7" ht="11.25">
      <c r="A37" s="77">
        <f t="shared" si="1"/>
        <v>31</v>
      </c>
      <c r="B37" s="117" t="s">
        <v>178</v>
      </c>
      <c r="C37" s="117"/>
      <c r="D37" s="77" t="s">
        <v>138</v>
      </c>
      <c r="E37" s="78">
        <v>19000</v>
      </c>
      <c r="F37" s="79">
        <v>24</v>
      </c>
      <c r="G37" s="79">
        <v>456000</v>
      </c>
    </row>
    <row r="38" spans="1:7" ht="11.25">
      <c r="A38" s="77">
        <f t="shared" si="1"/>
        <v>32</v>
      </c>
      <c r="B38" s="117" t="s">
        <v>179</v>
      </c>
      <c r="C38" s="117"/>
      <c r="D38" s="77" t="s">
        <v>77</v>
      </c>
      <c r="E38" s="78">
        <v>45000</v>
      </c>
      <c r="F38" s="79">
        <v>3</v>
      </c>
      <c r="G38" s="79">
        <v>135000</v>
      </c>
    </row>
    <row r="39" spans="1:7" ht="11.25">
      <c r="A39" s="77">
        <f t="shared" si="1"/>
        <v>33</v>
      </c>
      <c r="B39" s="117" t="s">
        <v>180</v>
      </c>
      <c r="C39" s="117"/>
      <c r="D39" s="77" t="s">
        <v>77</v>
      </c>
      <c r="E39" s="78">
        <v>6000</v>
      </c>
      <c r="F39" s="79">
        <v>10</v>
      </c>
      <c r="G39" s="79">
        <v>60000</v>
      </c>
    </row>
    <row r="40" spans="1:7" ht="11.25">
      <c r="A40" s="119" t="s">
        <v>181</v>
      </c>
      <c r="B40" s="119"/>
      <c r="C40" s="119"/>
      <c r="D40" s="80"/>
      <c r="E40" s="81"/>
      <c r="F40" s="82"/>
      <c r="G40" s="81">
        <v>7772928</v>
      </c>
    </row>
    <row r="41" spans="1:7" ht="11.25">
      <c r="A41" s="77">
        <f>+A39+1</f>
        <v>34</v>
      </c>
      <c r="B41" s="122" t="s">
        <v>182</v>
      </c>
      <c r="C41" s="122"/>
      <c r="D41" s="77" t="s">
        <v>76</v>
      </c>
      <c r="E41" s="78">
        <v>15000</v>
      </c>
      <c r="F41" s="79"/>
      <c r="G41" s="79">
        <v>0</v>
      </c>
    </row>
    <row r="42" spans="1:7" ht="11.25">
      <c r="A42" s="77">
        <f t="shared" ref="A42:A45" si="2">+A41+1</f>
        <v>35</v>
      </c>
      <c r="B42" s="122" t="s">
        <v>183</v>
      </c>
      <c r="C42" s="122"/>
      <c r="D42" s="77" t="s">
        <v>76</v>
      </c>
      <c r="E42" s="78">
        <v>30000</v>
      </c>
      <c r="F42" s="79">
        <v>320</v>
      </c>
      <c r="G42" s="79">
        <v>9600000</v>
      </c>
    </row>
    <row r="43" spans="1:7" ht="11.25">
      <c r="A43" s="77">
        <f t="shared" si="2"/>
        <v>36</v>
      </c>
      <c r="B43" s="122" t="s">
        <v>184</v>
      </c>
      <c r="C43" s="122"/>
      <c r="D43" s="77" t="s">
        <v>76</v>
      </c>
      <c r="E43" s="78">
        <v>15000</v>
      </c>
      <c r="F43" s="79"/>
      <c r="G43" s="79">
        <v>0</v>
      </c>
    </row>
    <row r="44" spans="1:7" ht="11.25">
      <c r="A44" s="77">
        <f t="shared" si="2"/>
        <v>37</v>
      </c>
      <c r="B44" s="122" t="s">
        <v>185</v>
      </c>
      <c r="C44" s="122"/>
      <c r="D44" s="77" t="s">
        <v>76</v>
      </c>
      <c r="E44" s="78">
        <v>15000</v>
      </c>
      <c r="F44" s="79">
        <v>320</v>
      </c>
      <c r="G44" s="79">
        <v>4800000</v>
      </c>
    </row>
    <row r="45" spans="1:7" ht="11.25">
      <c r="A45" s="77">
        <f t="shared" si="2"/>
        <v>38</v>
      </c>
      <c r="B45" s="122" t="s">
        <v>186</v>
      </c>
      <c r="C45" s="122"/>
      <c r="D45" s="77" t="s">
        <v>76</v>
      </c>
      <c r="E45" s="78">
        <v>300000</v>
      </c>
      <c r="F45" s="79">
        <v>50</v>
      </c>
      <c r="G45" s="79">
        <v>15000000</v>
      </c>
    </row>
    <row r="46" spans="1:7" ht="11.25">
      <c r="A46" s="77">
        <f>+A45+1</f>
        <v>39</v>
      </c>
      <c r="B46" s="122" t="s">
        <v>187</v>
      </c>
      <c r="C46" s="122"/>
      <c r="D46" s="77" t="s">
        <v>76</v>
      </c>
      <c r="E46" s="78">
        <v>700000</v>
      </c>
      <c r="F46" s="79">
        <v>5</v>
      </c>
      <c r="G46" s="79">
        <v>3500000</v>
      </c>
    </row>
    <row r="47" spans="1:7" ht="11.25">
      <c r="A47" s="80"/>
      <c r="B47" s="123" t="s">
        <v>188</v>
      </c>
      <c r="C47" s="123"/>
      <c r="D47" s="80"/>
      <c r="E47" s="81"/>
      <c r="F47" s="82"/>
      <c r="G47" s="81">
        <v>32900000</v>
      </c>
    </row>
    <row r="48" spans="1:7" ht="11.25">
      <c r="A48" s="116" t="s">
        <v>189</v>
      </c>
      <c r="B48" s="116"/>
      <c r="C48" s="116"/>
      <c r="D48" s="84"/>
      <c r="E48" s="85"/>
      <c r="F48" s="86"/>
      <c r="G48" s="85">
        <v>59081078</v>
      </c>
    </row>
    <row r="49" spans="1:7" ht="11.25">
      <c r="A49" s="77">
        <f>+A46+1</f>
        <v>40</v>
      </c>
      <c r="B49" s="117" t="s">
        <v>20</v>
      </c>
      <c r="C49" s="117"/>
      <c r="D49" s="77" t="s">
        <v>73</v>
      </c>
      <c r="E49" s="87">
        <v>50000</v>
      </c>
      <c r="F49" s="79">
        <v>30</v>
      </c>
      <c r="G49" s="79">
        <v>1500000</v>
      </c>
    </row>
    <row r="50" spans="1:7" ht="11.25">
      <c r="A50" s="77">
        <f>+A49+1</f>
        <v>41</v>
      </c>
      <c r="B50" s="117" t="s">
        <v>21</v>
      </c>
      <c r="C50" s="117"/>
      <c r="D50" s="77" t="s">
        <v>73</v>
      </c>
      <c r="E50" s="87">
        <v>35000</v>
      </c>
      <c r="F50" s="79">
        <v>40</v>
      </c>
      <c r="G50" s="79">
        <v>1400000</v>
      </c>
    </row>
    <row r="51" spans="1:7" ht="11.25">
      <c r="A51" s="77">
        <f>+A50+1</f>
        <v>42</v>
      </c>
      <c r="B51" s="117" t="s">
        <v>6</v>
      </c>
      <c r="C51" s="117"/>
      <c r="D51" s="77" t="s">
        <v>72</v>
      </c>
      <c r="E51" s="78">
        <v>54800</v>
      </c>
      <c r="F51" s="79">
        <v>858</v>
      </c>
      <c r="G51" s="79">
        <v>47018400</v>
      </c>
    </row>
    <row r="52" spans="1:7" ht="11.25">
      <c r="A52" s="77">
        <v>43</v>
      </c>
      <c r="B52" s="117" t="s">
        <v>190</v>
      </c>
      <c r="C52" s="117"/>
      <c r="D52" s="77" t="s">
        <v>72</v>
      </c>
      <c r="E52" s="78">
        <v>17000</v>
      </c>
      <c r="F52" s="79">
        <v>3559</v>
      </c>
      <c r="G52" s="79">
        <v>60503000</v>
      </c>
    </row>
    <row r="53" spans="1:7" ht="11.25">
      <c r="A53" s="77">
        <v>44</v>
      </c>
      <c r="B53" s="117" t="s">
        <v>191</v>
      </c>
      <c r="C53" s="117"/>
      <c r="D53" s="77" t="s">
        <v>192</v>
      </c>
      <c r="E53" s="78">
        <v>8000</v>
      </c>
      <c r="F53" s="79"/>
      <c r="G53" s="79">
        <v>0</v>
      </c>
    </row>
    <row r="54" spans="1:7" ht="11.25">
      <c r="A54" s="119" t="s">
        <v>193</v>
      </c>
      <c r="B54" s="119"/>
      <c r="C54" s="119"/>
      <c r="D54" s="80"/>
      <c r="E54" s="88"/>
      <c r="F54" s="82"/>
      <c r="G54" s="81">
        <v>110421400</v>
      </c>
    </row>
    <row r="55" spans="1:7" ht="11.25">
      <c r="A55" s="77">
        <f>+A53+1</f>
        <v>45</v>
      </c>
      <c r="B55" s="117" t="s">
        <v>194</v>
      </c>
      <c r="C55" s="117"/>
      <c r="D55" s="77" t="s">
        <v>96</v>
      </c>
      <c r="E55" s="87">
        <v>500</v>
      </c>
      <c r="F55" s="79">
        <v>8940</v>
      </c>
      <c r="G55" s="79">
        <v>4470000</v>
      </c>
    </row>
    <row r="56" spans="1:7" ht="11.25">
      <c r="A56" s="77">
        <f>+A55+1</f>
        <v>46</v>
      </c>
      <c r="B56" s="117" t="s">
        <v>195</v>
      </c>
      <c r="C56" s="117"/>
      <c r="D56" s="77" t="s">
        <v>96</v>
      </c>
      <c r="E56" s="87">
        <v>500</v>
      </c>
      <c r="F56" s="79">
        <v>3893</v>
      </c>
      <c r="G56" s="79">
        <v>1946500</v>
      </c>
    </row>
    <row r="57" spans="1:7" ht="11.25">
      <c r="A57" s="77">
        <f t="shared" ref="A57:A60" si="3">+A56+1</f>
        <v>47</v>
      </c>
      <c r="B57" s="117" t="s">
        <v>196</v>
      </c>
      <c r="C57" s="117"/>
      <c r="D57" s="77" t="s">
        <v>96</v>
      </c>
      <c r="E57" s="87">
        <v>500</v>
      </c>
      <c r="F57" s="79">
        <v>6777</v>
      </c>
      <c r="G57" s="79">
        <v>3388500</v>
      </c>
    </row>
    <row r="58" spans="1:7" ht="11.25">
      <c r="A58" s="77">
        <f t="shared" si="3"/>
        <v>48</v>
      </c>
      <c r="B58" s="117" t="s">
        <v>197</v>
      </c>
      <c r="C58" s="117"/>
      <c r="D58" s="77" t="s">
        <v>96</v>
      </c>
      <c r="E58" s="87">
        <v>500</v>
      </c>
      <c r="F58" s="79">
        <v>23302</v>
      </c>
      <c r="G58" s="79">
        <v>11651000</v>
      </c>
    </row>
    <row r="59" spans="1:7" ht="11.25">
      <c r="A59" s="77">
        <f t="shared" si="3"/>
        <v>49</v>
      </c>
      <c r="B59" s="117" t="s">
        <v>198</v>
      </c>
      <c r="C59" s="117"/>
      <c r="D59" s="77" t="s">
        <v>76</v>
      </c>
      <c r="E59" s="87">
        <v>600</v>
      </c>
      <c r="F59" s="79">
        <v>6674</v>
      </c>
      <c r="G59" s="79">
        <v>4004400</v>
      </c>
    </row>
    <row r="60" spans="1:7" ht="11.25">
      <c r="A60" s="77">
        <f t="shared" si="3"/>
        <v>50</v>
      </c>
      <c r="B60" s="117" t="s">
        <v>199</v>
      </c>
      <c r="C60" s="117"/>
      <c r="D60" s="77" t="s">
        <v>76</v>
      </c>
      <c r="E60" s="87">
        <v>600</v>
      </c>
      <c r="F60" s="79">
        <v>26</v>
      </c>
      <c r="G60" s="79">
        <v>15600</v>
      </c>
    </row>
    <row r="61" spans="1:7" ht="11.25">
      <c r="A61" s="119" t="s">
        <v>200</v>
      </c>
      <c r="B61" s="119"/>
      <c r="C61" s="119"/>
      <c r="D61" s="80"/>
      <c r="E61" s="88"/>
      <c r="F61" s="82"/>
      <c r="G61" s="81">
        <v>25476000</v>
      </c>
    </row>
    <row r="62" spans="1:7" ht="11.25">
      <c r="A62" s="77">
        <f>+A60+1</f>
        <v>51</v>
      </c>
      <c r="B62" s="117" t="s">
        <v>201</v>
      </c>
      <c r="C62" s="117"/>
      <c r="D62" s="77" t="s">
        <v>122</v>
      </c>
      <c r="E62" s="78">
        <v>97500</v>
      </c>
      <c r="F62" s="79">
        <v>1</v>
      </c>
      <c r="G62" s="79">
        <v>97500</v>
      </c>
    </row>
    <row r="63" spans="1:7" ht="11.25">
      <c r="A63" s="77">
        <f t="shared" ref="A63:A64" si="4">+A62+1</f>
        <v>52</v>
      </c>
      <c r="B63" s="117" t="s">
        <v>202</v>
      </c>
      <c r="C63" s="117"/>
      <c r="D63" s="77" t="s">
        <v>122</v>
      </c>
      <c r="E63" s="78">
        <v>182100</v>
      </c>
      <c r="F63" s="79">
        <v>1</v>
      </c>
      <c r="G63" s="79">
        <v>182100</v>
      </c>
    </row>
    <row r="64" spans="1:7" ht="11.25">
      <c r="A64" s="77">
        <f t="shared" si="4"/>
        <v>53</v>
      </c>
      <c r="B64" s="117" t="s">
        <v>203</v>
      </c>
      <c r="C64" s="117"/>
      <c r="D64" s="77" t="s">
        <v>122</v>
      </c>
      <c r="E64" s="78">
        <v>137500</v>
      </c>
      <c r="F64" s="79">
        <v>1</v>
      </c>
      <c r="G64" s="79">
        <v>137500</v>
      </c>
    </row>
    <row r="65" spans="1:10" ht="11.25">
      <c r="A65" s="119" t="s">
        <v>204</v>
      </c>
      <c r="B65" s="119"/>
      <c r="C65" s="119"/>
      <c r="D65" s="80"/>
      <c r="E65" s="81"/>
      <c r="F65" s="82"/>
      <c r="G65" s="81">
        <v>417100</v>
      </c>
      <c r="J65" s="89"/>
    </row>
    <row r="66" spans="1:10" ht="11.25">
      <c r="A66" s="116" t="s">
        <v>205</v>
      </c>
      <c r="B66" s="116"/>
      <c r="C66" s="116"/>
      <c r="D66" s="84"/>
      <c r="E66" s="85"/>
      <c r="F66" s="86"/>
      <c r="G66" s="85">
        <v>198209578</v>
      </c>
    </row>
    <row r="67" spans="1:10" ht="11.25">
      <c r="A67" s="77">
        <f>+A64+1</f>
        <v>54</v>
      </c>
      <c r="B67" s="117" t="s">
        <v>206</v>
      </c>
      <c r="C67" s="117"/>
      <c r="D67" s="77" t="s">
        <v>77</v>
      </c>
      <c r="E67" s="78">
        <f>29000-29000*0.2</f>
        <v>23200</v>
      </c>
      <c r="F67" s="79">
        <v>4</v>
      </c>
      <c r="G67" s="79">
        <v>92800</v>
      </c>
    </row>
    <row r="68" spans="1:10" ht="11.25">
      <c r="A68" s="77">
        <f>+A67+1</f>
        <v>55</v>
      </c>
      <c r="B68" s="117" t="s">
        <v>207</v>
      </c>
      <c r="C68" s="117"/>
      <c r="D68" s="77" t="s">
        <v>77</v>
      </c>
      <c r="E68" s="78">
        <v>11818</v>
      </c>
      <c r="F68" s="79">
        <v>292</v>
      </c>
      <c r="G68" s="79">
        <v>3450856</v>
      </c>
    </row>
    <row r="69" spans="1:10" ht="11.25">
      <c r="A69" s="77">
        <f t="shared" ref="A69:A70" si="5">+A68+1</f>
        <v>56</v>
      </c>
      <c r="B69" s="117" t="s">
        <v>208</v>
      </c>
      <c r="C69" s="117"/>
      <c r="D69" s="77" t="s">
        <v>77</v>
      </c>
      <c r="E69" s="78">
        <v>30000</v>
      </c>
      <c r="F69" s="79">
        <v>3</v>
      </c>
      <c r="G69" s="79">
        <v>90000</v>
      </c>
    </row>
    <row r="70" spans="1:10" ht="11.25">
      <c r="A70" s="77">
        <f t="shared" si="5"/>
        <v>57</v>
      </c>
      <c r="B70" s="117" t="s">
        <v>209</v>
      </c>
      <c r="C70" s="117"/>
      <c r="D70" s="77" t="s">
        <v>77</v>
      </c>
      <c r="E70" s="78">
        <v>50000</v>
      </c>
      <c r="F70" s="79">
        <v>18</v>
      </c>
      <c r="G70" s="79">
        <v>900000</v>
      </c>
    </row>
    <row r="71" spans="1:10" ht="11.25">
      <c r="A71" s="119" t="s">
        <v>210</v>
      </c>
      <c r="B71" s="119"/>
      <c r="C71" s="119"/>
      <c r="D71" s="80"/>
      <c r="E71" s="81"/>
      <c r="F71" s="82"/>
      <c r="G71" s="81">
        <v>4533656</v>
      </c>
    </row>
    <row r="72" spans="1:10" ht="11.25">
      <c r="A72" s="77">
        <f>+A70+1</f>
        <v>58</v>
      </c>
      <c r="B72" s="117" t="s">
        <v>63</v>
      </c>
      <c r="C72" s="117"/>
      <c r="D72" s="77" t="s">
        <v>77</v>
      </c>
      <c r="E72" s="78">
        <v>16000</v>
      </c>
      <c r="F72" s="79">
        <v>231</v>
      </c>
      <c r="G72" s="79">
        <v>3696000</v>
      </c>
    </row>
    <row r="73" spans="1:10" ht="11.25">
      <c r="A73" s="77">
        <f>+A72+1</f>
        <v>59</v>
      </c>
      <c r="B73" s="117" t="s">
        <v>106</v>
      </c>
      <c r="C73" s="117"/>
      <c r="D73" s="77" t="s">
        <v>77</v>
      </c>
      <c r="E73" s="78">
        <f>12000-12000*0.2</f>
        <v>9600</v>
      </c>
      <c r="F73" s="79">
        <v>231</v>
      </c>
      <c r="G73" s="79">
        <v>2217600</v>
      </c>
    </row>
    <row r="74" spans="1:10" ht="11.25">
      <c r="A74" s="77">
        <f t="shared" ref="A74:A76" si="6">+A73+1</f>
        <v>60</v>
      </c>
      <c r="B74" s="117" t="s">
        <v>211</v>
      </c>
      <c r="C74" s="117"/>
      <c r="D74" s="77" t="s">
        <v>77</v>
      </c>
      <c r="E74" s="78">
        <f>13000-13000*0.2</f>
        <v>10400</v>
      </c>
      <c r="F74" s="79">
        <v>50</v>
      </c>
      <c r="G74" s="79">
        <v>520000</v>
      </c>
    </row>
    <row r="75" spans="1:10" ht="11.25">
      <c r="A75" s="77">
        <f t="shared" si="6"/>
        <v>61</v>
      </c>
      <c r="B75" s="117" t="s">
        <v>212</v>
      </c>
      <c r="C75" s="117"/>
      <c r="D75" s="77" t="s">
        <v>77</v>
      </c>
      <c r="E75" s="78">
        <f>27000-27000*0.2</f>
        <v>21600</v>
      </c>
      <c r="F75" s="79">
        <v>10</v>
      </c>
      <c r="G75" s="79">
        <v>216000</v>
      </c>
    </row>
    <row r="76" spans="1:10" ht="11.25">
      <c r="A76" s="77">
        <f t="shared" si="6"/>
        <v>62</v>
      </c>
      <c r="B76" s="117" t="s">
        <v>213</v>
      </c>
      <c r="C76" s="117"/>
      <c r="D76" s="77" t="s">
        <v>77</v>
      </c>
      <c r="E76" s="78">
        <f>13000-13000*0.2</f>
        <v>10400</v>
      </c>
      <c r="F76" s="79">
        <v>10</v>
      </c>
      <c r="G76" s="79">
        <v>104000</v>
      </c>
    </row>
    <row r="77" spans="1:10" ht="11.25">
      <c r="A77" s="119" t="s">
        <v>214</v>
      </c>
      <c r="B77" s="119"/>
      <c r="C77" s="119"/>
      <c r="D77" s="80"/>
      <c r="E77" s="81"/>
      <c r="F77" s="82"/>
      <c r="G77" s="81">
        <v>6753600</v>
      </c>
    </row>
    <row r="78" spans="1:10" ht="11.25">
      <c r="A78" s="77">
        <f>+A76+1</f>
        <v>63</v>
      </c>
      <c r="B78" s="117" t="s">
        <v>215</v>
      </c>
      <c r="C78" s="117"/>
      <c r="D78" s="77" t="s">
        <v>77</v>
      </c>
      <c r="E78" s="78">
        <v>21540</v>
      </c>
      <c r="F78" s="79">
        <v>796</v>
      </c>
      <c r="G78" s="79">
        <v>17145840</v>
      </c>
    </row>
    <row r="79" spans="1:10" ht="11.25">
      <c r="A79" s="77">
        <f>+A78+1</f>
        <v>64</v>
      </c>
      <c r="B79" s="117" t="s">
        <v>216</v>
      </c>
      <c r="C79" s="117"/>
      <c r="D79" s="77" t="s">
        <v>77</v>
      </c>
      <c r="E79" s="78">
        <v>14910</v>
      </c>
      <c r="F79" s="79">
        <v>580</v>
      </c>
      <c r="G79" s="79">
        <v>8647800</v>
      </c>
    </row>
    <row r="80" spans="1:10" ht="11.25">
      <c r="A80" s="77">
        <f t="shared" ref="A80:A96" si="7">+A79+1</f>
        <v>65</v>
      </c>
      <c r="B80" s="117" t="s">
        <v>217</v>
      </c>
      <c r="C80" s="117"/>
      <c r="D80" s="77" t="s">
        <v>77</v>
      </c>
      <c r="E80" s="78">
        <f>45000-45000*30%</f>
        <v>31500</v>
      </c>
      <c r="F80" s="79">
        <v>71</v>
      </c>
      <c r="G80" s="79">
        <v>2236500</v>
      </c>
    </row>
    <row r="81" spans="1:9" ht="11.25">
      <c r="A81" s="77">
        <f t="shared" si="7"/>
        <v>66</v>
      </c>
      <c r="B81" s="117" t="s">
        <v>218</v>
      </c>
      <c r="C81" s="117"/>
      <c r="D81" s="77" t="s">
        <v>77</v>
      </c>
      <c r="E81" s="78">
        <f>29500*0.8</f>
        <v>23600</v>
      </c>
      <c r="F81" s="79">
        <v>30</v>
      </c>
      <c r="G81" s="79">
        <v>708000</v>
      </c>
    </row>
    <row r="82" spans="1:9" ht="11.25">
      <c r="A82" s="77">
        <f t="shared" si="7"/>
        <v>67</v>
      </c>
      <c r="B82" s="117" t="s">
        <v>219</v>
      </c>
      <c r="C82" s="117"/>
      <c r="D82" s="77" t="s">
        <v>77</v>
      </c>
      <c r="E82" s="78">
        <v>27676</v>
      </c>
      <c r="F82" s="79">
        <v>30</v>
      </c>
      <c r="G82" s="79">
        <v>830280</v>
      </c>
      <c r="H82" s="90"/>
    </row>
    <row r="83" spans="1:9" ht="11.45" customHeight="1">
      <c r="A83" s="77">
        <f t="shared" si="7"/>
        <v>68</v>
      </c>
      <c r="B83" s="120" t="s">
        <v>220</v>
      </c>
      <c r="C83" s="91" t="s">
        <v>221</v>
      </c>
      <c r="D83" s="77" t="s">
        <v>77</v>
      </c>
      <c r="E83" s="78">
        <f>23000-23000*0.2</f>
        <v>18400</v>
      </c>
      <c r="F83" s="79">
        <v>30</v>
      </c>
      <c r="G83" s="79">
        <v>552000</v>
      </c>
    </row>
    <row r="84" spans="1:9" ht="11.25">
      <c r="A84" s="77">
        <f t="shared" si="7"/>
        <v>69</v>
      </c>
      <c r="B84" s="120"/>
      <c r="C84" s="91" t="s">
        <v>222</v>
      </c>
      <c r="D84" s="77" t="s">
        <v>77</v>
      </c>
      <c r="E84" s="78">
        <f>18000-18000*0.2</f>
        <v>14400</v>
      </c>
      <c r="F84" s="79">
        <v>158</v>
      </c>
      <c r="G84" s="79">
        <v>2275200</v>
      </c>
    </row>
    <row r="85" spans="1:9" ht="11.25">
      <c r="A85" s="77">
        <f t="shared" si="7"/>
        <v>70</v>
      </c>
      <c r="B85" s="120"/>
      <c r="C85" s="91" t="s">
        <v>223</v>
      </c>
      <c r="D85" s="77" t="s">
        <v>77</v>
      </c>
      <c r="E85" s="78">
        <v>8000</v>
      </c>
      <c r="F85" s="79"/>
      <c r="G85" s="79">
        <v>0</v>
      </c>
      <c r="H85" s="92"/>
    </row>
    <row r="86" spans="1:9" ht="11.25">
      <c r="A86" s="77">
        <f t="shared" si="7"/>
        <v>71</v>
      </c>
      <c r="B86" s="120"/>
      <c r="C86" s="91" t="s">
        <v>224</v>
      </c>
      <c r="D86" s="77" t="s">
        <v>77</v>
      </c>
      <c r="E86" s="78">
        <v>8000</v>
      </c>
      <c r="F86" s="79">
        <v>6</v>
      </c>
      <c r="G86" s="79">
        <v>48000</v>
      </c>
    </row>
    <row r="87" spans="1:9" ht="11.25">
      <c r="A87" s="77">
        <f t="shared" si="7"/>
        <v>72</v>
      </c>
      <c r="B87" s="120"/>
      <c r="C87" s="91" t="s">
        <v>225</v>
      </c>
      <c r="D87" s="77" t="s">
        <v>77</v>
      </c>
      <c r="E87" s="78">
        <v>8000</v>
      </c>
      <c r="F87" s="79">
        <v>10</v>
      </c>
      <c r="G87" s="79">
        <v>80000</v>
      </c>
    </row>
    <row r="88" spans="1:9" ht="11.25">
      <c r="A88" s="77">
        <f t="shared" si="7"/>
        <v>73</v>
      </c>
      <c r="B88" s="120"/>
      <c r="C88" s="91" t="s">
        <v>226</v>
      </c>
      <c r="D88" s="77" t="s">
        <v>77</v>
      </c>
      <c r="E88" s="78">
        <v>8000</v>
      </c>
      <c r="F88" s="79">
        <v>60</v>
      </c>
      <c r="G88" s="79">
        <v>480000</v>
      </c>
    </row>
    <row r="89" spans="1:9" ht="11.25">
      <c r="A89" s="77">
        <f t="shared" si="7"/>
        <v>74</v>
      </c>
      <c r="B89" s="120"/>
      <c r="C89" s="91" t="s">
        <v>227</v>
      </c>
      <c r="D89" s="77" t="s">
        <v>77</v>
      </c>
      <c r="E89" s="78">
        <v>8000</v>
      </c>
      <c r="F89" s="79">
        <v>20</v>
      </c>
      <c r="G89" s="79">
        <v>160000</v>
      </c>
    </row>
    <row r="90" spans="1:9" ht="11.25">
      <c r="A90" s="77">
        <f t="shared" si="7"/>
        <v>75</v>
      </c>
      <c r="B90" s="120"/>
      <c r="C90" s="91" t="s">
        <v>228</v>
      </c>
      <c r="D90" s="77" t="s">
        <v>77</v>
      </c>
      <c r="E90" s="78">
        <f>23000-23000*0.2</f>
        <v>18400</v>
      </c>
      <c r="F90" s="79">
        <v>5</v>
      </c>
      <c r="G90" s="79">
        <v>92000</v>
      </c>
      <c r="I90" s="89"/>
    </row>
    <row r="91" spans="1:9" ht="11.25">
      <c r="A91" s="77">
        <f t="shared" si="7"/>
        <v>76</v>
      </c>
      <c r="B91" s="120"/>
      <c r="C91" s="91" t="s">
        <v>229</v>
      </c>
      <c r="D91" s="77" t="s">
        <v>77</v>
      </c>
      <c r="E91" s="78">
        <v>24000</v>
      </c>
      <c r="F91" s="79">
        <v>0</v>
      </c>
      <c r="G91" s="79">
        <v>0</v>
      </c>
      <c r="I91" s="89"/>
    </row>
    <row r="92" spans="1:9" ht="11.25">
      <c r="A92" s="77">
        <f t="shared" si="7"/>
        <v>77</v>
      </c>
      <c r="B92" s="120"/>
      <c r="C92" s="91" t="s">
        <v>230</v>
      </c>
      <c r="D92" s="77" t="s">
        <v>77</v>
      </c>
      <c r="E92" s="78">
        <v>8000</v>
      </c>
      <c r="F92" s="79">
        <v>5</v>
      </c>
      <c r="G92" s="79">
        <v>40000</v>
      </c>
      <c r="I92" s="89"/>
    </row>
    <row r="93" spans="1:9" ht="11.25">
      <c r="A93" s="77">
        <f t="shared" si="7"/>
        <v>78</v>
      </c>
      <c r="B93" s="120"/>
      <c r="C93" s="91" t="s">
        <v>231</v>
      </c>
      <c r="D93" s="77" t="s">
        <v>77</v>
      </c>
      <c r="E93" s="78">
        <v>16000</v>
      </c>
      <c r="F93" s="79">
        <v>10</v>
      </c>
      <c r="G93" s="79">
        <v>160000</v>
      </c>
      <c r="I93" s="89"/>
    </row>
    <row r="94" spans="1:9" ht="11.25">
      <c r="A94" s="77">
        <f t="shared" si="7"/>
        <v>79</v>
      </c>
      <c r="B94" s="120"/>
      <c r="C94" s="91" t="s">
        <v>143</v>
      </c>
      <c r="D94" s="77" t="s">
        <v>77</v>
      </c>
      <c r="E94" s="78">
        <f>8000-8000*0.2</f>
        <v>6400</v>
      </c>
      <c r="F94" s="79">
        <v>10</v>
      </c>
      <c r="G94" s="79">
        <v>64000</v>
      </c>
    </row>
    <row r="95" spans="1:9" ht="11.25">
      <c r="A95" s="77">
        <f t="shared" si="7"/>
        <v>80</v>
      </c>
      <c r="B95" s="120"/>
      <c r="C95" s="91" t="s">
        <v>232</v>
      </c>
      <c r="D95" s="77" t="s">
        <v>77</v>
      </c>
      <c r="E95" s="78">
        <f>(34000+24500+38000+51000+36000)*0.7</f>
        <v>128449.99999999999</v>
      </c>
      <c r="F95" s="79">
        <v>0</v>
      </c>
      <c r="G95" s="79">
        <v>0</v>
      </c>
    </row>
    <row r="96" spans="1:9" ht="11.25">
      <c r="A96" s="77">
        <f t="shared" si="7"/>
        <v>81</v>
      </c>
      <c r="B96" s="117" t="s">
        <v>233</v>
      </c>
      <c r="C96" s="117"/>
      <c r="D96" s="77" t="s">
        <v>77</v>
      </c>
      <c r="E96" s="78">
        <f>45350-45350*30%</f>
        <v>31745</v>
      </c>
      <c r="F96" s="79">
        <v>71</v>
      </c>
      <c r="G96" s="79">
        <v>2253895</v>
      </c>
    </row>
    <row r="97" spans="1:10" ht="11.25">
      <c r="A97" s="119" t="s">
        <v>234</v>
      </c>
      <c r="B97" s="119"/>
      <c r="C97" s="119"/>
      <c r="D97" s="80"/>
      <c r="E97" s="81"/>
      <c r="F97" s="82"/>
      <c r="G97" s="81">
        <v>35773515</v>
      </c>
    </row>
    <row r="98" spans="1:10" ht="11.45" customHeight="1">
      <c r="A98" s="77">
        <f>+A96+1</f>
        <v>82</v>
      </c>
      <c r="B98" s="121" t="s">
        <v>235</v>
      </c>
      <c r="C98" s="91" t="s">
        <v>236</v>
      </c>
      <c r="D98" s="77" t="s">
        <v>77</v>
      </c>
      <c r="E98" s="78">
        <f>(3200+2000*5+1400+5400)*0.6</f>
        <v>12000</v>
      </c>
      <c r="F98" s="79">
        <v>77</v>
      </c>
      <c r="G98" s="79">
        <v>924000</v>
      </c>
    </row>
    <row r="99" spans="1:10" ht="11.25">
      <c r="A99" s="77">
        <f>+A98+1</f>
        <v>83</v>
      </c>
      <c r="B99" s="121"/>
      <c r="C99" s="91" t="s">
        <v>237</v>
      </c>
      <c r="D99" s="77" t="s">
        <v>77</v>
      </c>
      <c r="E99" s="78">
        <f>(3200+1400+5400)*0.6</f>
        <v>6000</v>
      </c>
      <c r="F99" s="79">
        <v>873</v>
      </c>
      <c r="G99" s="79">
        <v>5238000</v>
      </c>
    </row>
    <row r="100" spans="1:10" ht="11.25">
      <c r="A100" s="77">
        <f t="shared" ref="A100" si="8">+A99+1</f>
        <v>84</v>
      </c>
      <c r="B100" s="121"/>
      <c r="C100" s="91" t="s">
        <v>238</v>
      </c>
      <c r="D100" s="77" t="s">
        <v>77</v>
      </c>
      <c r="E100" s="78">
        <f>6800*0.6</f>
        <v>4080</v>
      </c>
      <c r="F100" s="79">
        <v>580</v>
      </c>
      <c r="G100" s="79">
        <v>2366400</v>
      </c>
    </row>
    <row r="101" spans="1:10" ht="11.25">
      <c r="A101" s="119" t="s">
        <v>239</v>
      </c>
      <c r="B101" s="119"/>
      <c r="C101" s="119"/>
      <c r="D101" s="80"/>
      <c r="E101" s="81"/>
      <c r="F101" s="82"/>
      <c r="G101" s="81">
        <v>8528400</v>
      </c>
    </row>
    <row r="102" spans="1:10" ht="11.45" customHeight="1">
      <c r="A102" s="77">
        <f>+A100+1</f>
        <v>85</v>
      </c>
      <c r="B102" s="120" t="s">
        <v>240</v>
      </c>
      <c r="C102" s="91" t="s">
        <v>241</v>
      </c>
      <c r="D102" s="77" t="s">
        <v>77</v>
      </c>
      <c r="E102" s="78">
        <v>32946</v>
      </c>
      <c r="F102" s="79">
        <v>2</v>
      </c>
      <c r="G102" s="79">
        <v>65892</v>
      </c>
    </row>
    <row r="103" spans="1:10" ht="11.25">
      <c r="A103" s="77">
        <f>+A102+1</f>
        <v>86</v>
      </c>
      <c r="B103" s="120"/>
      <c r="C103" s="91" t="s">
        <v>242</v>
      </c>
      <c r="D103" s="77" t="s">
        <v>77</v>
      </c>
      <c r="E103" s="78">
        <v>246228</v>
      </c>
      <c r="F103" s="79">
        <v>2</v>
      </c>
      <c r="G103" s="79">
        <v>492456</v>
      </c>
    </row>
    <row r="104" spans="1:10" ht="11.25">
      <c r="A104" s="77">
        <f t="shared" ref="A104:A105" si="9">+A103+1</f>
        <v>87</v>
      </c>
      <c r="B104" s="120"/>
      <c r="C104" s="91" t="s">
        <v>243</v>
      </c>
      <c r="D104" s="77" t="s">
        <v>77</v>
      </c>
      <c r="E104" s="78">
        <v>305949</v>
      </c>
      <c r="F104" s="79">
        <v>2</v>
      </c>
      <c r="G104" s="79">
        <v>611898</v>
      </c>
    </row>
    <row r="105" spans="1:10" ht="11.25">
      <c r="A105" s="77">
        <f t="shared" si="9"/>
        <v>88</v>
      </c>
      <c r="B105" s="120"/>
      <c r="C105" s="91" t="s">
        <v>244</v>
      </c>
      <c r="D105" s="77" t="s">
        <v>77</v>
      </c>
      <c r="E105" s="78">
        <v>131478</v>
      </c>
      <c r="F105" s="79">
        <v>4</v>
      </c>
      <c r="G105" s="79">
        <v>525912</v>
      </c>
    </row>
    <row r="106" spans="1:10" ht="11.25">
      <c r="A106" s="119" t="s">
        <v>245</v>
      </c>
      <c r="B106" s="119"/>
      <c r="C106" s="119"/>
      <c r="D106" s="80"/>
      <c r="E106" s="81"/>
      <c r="F106" s="82"/>
      <c r="G106" s="81">
        <v>1696158</v>
      </c>
    </row>
    <row r="107" spans="1:10" ht="11.25">
      <c r="A107" s="77">
        <f>+A105+1</f>
        <v>89</v>
      </c>
      <c r="B107" s="117" t="s">
        <v>246</v>
      </c>
      <c r="C107" s="117"/>
      <c r="D107" s="77" t="s">
        <v>77</v>
      </c>
      <c r="E107" s="78">
        <v>2000000</v>
      </c>
      <c r="F107" s="79">
        <v>3</v>
      </c>
      <c r="G107" s="79">
        <v>6000000</v>
      </c>
    </row>
    <row r="108" spans="1:10" ht="11.25">
      <c r="A108" s="77">
        <f>+A107+1</f>
        <v>90</v>
      </c>
      <c r="B108" s="117" t="s">
        <v>139</v>
      </c>
      <c r="C108" s="117"/>
      <c r="D108" s="77" t="s">
        <v>141</v>
      </c>
      <c r="E108" s="78">
        <v>115000</v>
      </c>
      <c r="F108" s="79">
        <v>14</v>
      </c>
      <c r="G108" s="79">
        <v>1610000</v>
      </c>
    </row>
    <row r="109" spans="1:10" ht="11.25">
      <c r="A109" s="77">
        <f t="shared" ref="A109:A110" si="10">+A108+1</f>
        <v>91</v>
      </c>
      <c r="B109" s="117" t="s">
        <v>247</v>
      </c>
      <c r="C109" s="117"/>
      <c r="D109" s="77" t="s">
        <v>141</v>
      </c>
      <c r="E109" s="78">
        <v>125000</v>
      </c>
      <c r="F109" s="79">
        <v>10</v>
      </c>
      <c r="G109" s="79">
        <v>1250000</v>
      </c>
    </row>
    <row r="110" spans="1:10" ht="11.25">
      <c r="A110" s="77">
        <f t="shared" si="10"/>
        <v>92</v>
      </c>
      <c r="B110" s="117" t="s">
        <v>140</v>
      </c>
      <c r="C110" s="117"/>
      <c r="D110" s="77" t="s">
        <v>141</v>
      </c>
      <c r="E110" s="78">
        <v>30000</v>
      </c>
      <c r="F110" s="79">
        <v>24</v>
      </c>
      <c r="G110" s="79">
        <v>720000</v>
      </c>
    </row>
    <row r="111" spans="1:10">
      <c r="A111" s="119" t="s">
        <v>248</v>
      </c>
      <c r="B111" s="119"/>
      <c r="C111" s="119"/>
      <c r="D111" s="80"/>
      <c r="E111" s="81"/>
      <c r="F111" s="81"/>
      <c r="G111" s="81">
        <v>9580000</v>
      </c>
    </row>
    <row r="112" spans="1:10">
      <c r="A112" s="116" t="s">
        <v>249</v>
      </c>
      <c r="B112" s="116"/>
      <c r="C112" s="116"/>
      <c r="D112" s="84"/>
      <c r="E112" s="85"/>
      <c r="F112" s="85"/>
      <c r="G112" s="85">
        <v>66865329</v>
      </c>
      <c r="J112" s="89"/>
    </row>
    <row r="113" spans="1:10" ht="11.25">
      <c r="A113" s="77">
        <f>+A110+1</f>
        <v>93</v>
      </c>
      <c r="B113" s="117" t="s">
        <v>250</v>
      </c>
      <c r="C113" s="117"/>
      <c r="D113" s="77" t="s">
        <v>251</v>
      </c>
      <c r="E113" s="78"/>
      <c r="F113" s="79"/>
      <c r="G113" s="79">
        <v>500000</v>
      </c>
    </row>
    <row r="114" spans="1:10" ht="11.25">
      <c r="A114" s="77">
        <f>A113+1</f>
        <v>94</v>
      </c>
      <c r="B114" s="117" t="s">
        <v>252</v>
      </c>
      <c r="C114" s="117"/>
      <c r="D114" s="77" t="s">
        <v>253</v>
      </c>
      <c r="E114" s="78">
        <v>250000</v>
      </c>
      <c r="F114" s="79">
        <v>12</v>
      </c>
      <c r="G114" s="79">
        <v>3000000</v>
      </c>
    </row>
    <row r="115" spans="1:10" ht="11.25">
      <c r="A115" s="119" t="s">
        <v>254</v>
      </c>
      <c r="B115" s="119"/>
      <c r="C115" s="119"/>
      <c r="D115" s="80"/>
      <c r="E115" s="81"/>
      <c r="F115" s="82"/>
      <c r="G115" s="81">
        <v>3500000</v>
      </c>
    </row>
    <row r="116" spans="1:10" ht="11.25">
      <c r="A116" s="116" t="s">
        <v>255</v>
      </c>
      <c r="B116" s="116"/>
      <c r="C116" s="116"/>
      <c r="D116" s="84"/>
      <c r="E116" s="85"/>
      <c r="F116" s="86"/>
      <c r="G116" s="85">
        <v>70365329</v>
      </c>
    </row>
    <row r="117" spans="1:10" ht="11.25">
      <c r="A117" s="116" t="s">
        <v>256</v>
      </c>
      <c r="B117" s="116"/>
      <c r="C117" s="116"/>
      <c r="D117" s="84"/>
      <c r="E117" s="85"/>
      <c r="F117" s="86"/>
      <c r="G117" s="85">
        <v>268574907</v>
      </c>
    </row>
    <row r="118" spans="1:10" ht="11.25">
      <c r="A118" s="77"/>
      <c r="B118" s="117" t="s">
        <v>257</v>
      </c>
      <c r="C118" s="117"/>
      <c r="D118" s="77" t="s">
        <v>73</v>
      </c>
      <c r="E118" s="93">
        <v>0.1</v>
      </c>
      <c r="F118" s="79"/>
      <c r="G118" s="78"/>
    </row>
    <row r="119" spans="1:10">
      <c r="A119" s="116" t="s">
        <v>258</v>
      </c>
      <c r="B119" s="116"/>
      <c r="C119" s="116"/>
      <c r="D119" s="84"/>
      <c r="E119" s="85"/>
      <c r="F119" s="85"/>
      <c r="G119" s="85">
        <v>268574907</v>
      </c>
    </row>
    <row r="120" spans="1:10" ht="11.25">
      <c r="A120" s="77"/>
      <c r="B120" s="117" t="s">
        <v>259</v>
      </c>
      <c r="C120" s="117"/>
      <c r="D120" s="77"/>
      <c r="E120" s="78"/>
      <c r="F120" s="78"/>
      <c r="G120" s="78">
        <v>26857490.700000003</v>
      </c>
    </row>
    <row r="121" spans="1:10">
      <c r="A121" s="118" t="s">
        <v>260</v>
      </c>
      <c r="B121" s="118"/>
      <c r="C121" s="118"/>
      <c r="D121" s="94"/>
      <c r="E121" s="95"/>
      <c r="F121" s="95"/>
      <c r="G121" s="95">
        <v>295432397.69999999</v>
      </c>
      <c r="J121" s="89"/>
    </row>
    <row r="122" spans="1:10" ht="11.25">
      <c r="A122" s="72"/>
      <c r="B122" s="72"/>
      <c r="C122" s="72"/>
      <c r="D122" s="72"/>
      <c r="E122" s="72"/>
      <c r="F122" s="72"/>
      <c r="G122" s="72"/>
    </row>
    <row r="123" spans="1:10" ht="11.25">
      <c r="A123" s="72"/>
      <c r="B123" s="71"/>
      <c r="D123" s="97"/>
      <c r="E123" s="97"/>
      <c r="F123" s="72"/>
      <c r="G123" s="72"/>
      <c r="H123" s="89"/>
      <c r="J123" s="98"/>
    </row>
    <row r="124" spans="1:10" ht="12.75">
      <c r="A124" s="72"/>
      <c r="B124" s="99"/>
      <c r="C124" s="100" t="s">
        <v>7</v>
      </c>
      <c r="D124" s="101"/>
      <c r="E124" s="101"/>
      <c r="F124" s="72"/>
      <c r="G124" s="72"/>
    </row>
    <row r="125" spans="1:10" ht="12.75" customHeight="1">
      <c r="A125" s="72"/>
      <c r="B125" s="99"/>
      <c r="C125" s="101" t="s">
        <v>87</v>
      </c>
      <c r="D125" s="101"/>
      <c r="E125" s="101"/>
      <c r="F125" s="115"/>
      <c r="G125" s="115"/>
    </row>
    <row r="126" spans="1:10" ht="12.75" customHeight="1">
      <c r="A126" s="72"/>
      <c r="B126" s="99"/>
      <c r="C126" s="101" t="s">
        <v>88</v>
      </c>
      <c r="D126" s="101"/>
      <c r="E126" s="101"/>
      <c r="F126" s="115"/>
      <c r="G126" s="115"/>
    </row>
    <row r="127" spans="1:10" ht="12.75" customHeight="1">
      <c r="A127" s="72"/>
      <c r="B127" s="99"/>
      <c r="C127" s="101" t="s">
        <v>86</v>
      </c>
      <c r="D127" s="101"/>
      <c r="E127" s="101"/>
      <c r="F127" s="115"/>
      <c r="G127" s="115"/>
    </row>
    <row r="128" spans="1:10" ht="12.75">
      <c r="B128" s="99"/>
      <c r="C128" s="101"/>
      <c r="D128" s="101"/>
      <c r="E128" s="101"/>
      <c r="G128" s="103"/>
    </row>
    <row r="129" spans="2:7" ht="12.75">
      <c r="B129" s="99"/>
      <c r="C129" s="100" t="s">
        <v>1</v>
      </c>
      <c r="D129" s="101"/>
      <c r="E129" s="101"/>
      <c r="G129" s="101"/>
    </row>
    <row r="130" spans="2:7" ht="12.75">
      <c r="B130" s="99"/>
      <c r="C130" s="101" t="s">
        <v>53</v>
      </c>
      <c r="D130" s="101"/>
      <c r="E130" s="101"/>
      <c r="G130" s="101" t="s">
        <v>133</v>
      </c>
    </row>
    <row r="131" spans="2:7" ht="12.75">
      <c r="B131" s="99"/>
      <c r="C131" s="101"/>
      <c r="D131" s="101"/>
      <c r="E131" s="101"/>
      <c r="G131" s="101"/>
    </row>
    <row r="132" spans="2:7" ht="12.75">
      <c r="B132" s="99"/>
      <c r="C132" s="100" t="s">
        <v>2</v>
      </c>
      <c r="D132" s="101"/>
      <c r="E132" s="101"/>
      <c r="G132" s="101"/>
    </row>
    <row r="133" spans="2:7" ht="12.75">
      <c r="B133" s="99"/>
      <c r="C133" s="101" t="s">
        <v>51</v>
      </c>
      <c r="D133" s="101"/>
      <c r="E133" s="101"/>
      <c r="F133" s="115"/>
      <c r="G133" s="115"/>
    </row>
    <row r="134" spans="2:7" ht="12.75">
      <c r="B134" s="99"/>
      <c r="C134" s="101" t="s">
        <v>52</v>
      </c>
      <c r="D134" s="101"/>
      <c r="E134" s="101"/>
      <c r="G134" s="101" t="s">
        <v>70</v>
      </c>
    </row>
  </sheetData>
  <mergeCells count="111">
    <mergeCell ref="A1:A2"/>
    <mergeCell ref="B1:C2"/>
    <mergeCell ref="D1:D2"/>
    <mergeCell ref="E1:E2"/>
    <mergeCell ref="F1:G1"/>
    <mergeCell ref="B9:C9"/>
    <mergeCell ref="B10:C10"/>
    <mergeCell ref="B11:C11"/>
    <mergeCell ref="B12:C12"/>
    <mergeCell ref="B13:C13"/>
    <mergeCell ref="B14:C14"/>
    <mergeCell ref="B3:C3"/>
    <mergeCell ref="B4:C4"/>
    <mergeCell ref="B5:C5"/>
    <mergeCell ref="B6:C6"/>
    <mergeCell ref="B7:C7"/>
    <mergeCell ref="A8:C8"/>
    <mergeCell ref="B21:C21"/>
    <mergeCell ref="A22:C22"/>
    <mergeCell ref="B23:C23"/>
    <mergeCell ref="B24:C24"/>
    <mergeCell ref="B25:C25"/>
    <mergeCell ref="B26:C26"/>
    <mergeCell ref="B15:C15"/>
    <mergeCell ref="A16:C16"/>
    <mergeCell ref="B17:C17"/>
    <mergeCell ref="B18:C18"/>
    <mergeCell ref="B19:C19"/>
    <mergeCell ref="B20:C20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A48:C48"/>
    <mergeCell ref="B49:C49"/>
    <mergeCell ref="B50:C50"/>
    <mergeCell ref="B39:C39"/>
    <mergeCell ref="A40:C40"/>
    <mergeCell ref="B41:C41"/>
    <mergeCell ref="B42:C42"/>
    <mergeCell ref="B43:C43"/>
    <mergeCell ref="B44:C44"/>
    <mergeCell ref="B57:C57"/>
    <mergeCell ref="B58:C58"/>
    <mergeCell ref="B59:C59"/>
    <mergeCell ref="B60:C60"/>
    <mergeCell ref="A61:C61"/>
    <mergeCell ref="B62:C62"/>
    <mergeCell ref="B51:C51"/>
    <mergeCell ref="B52:C52"/>
    <mergeCell ref="B53:C53"/>
    <mergeCell ref="A54:C54"/>
    <mergeCell ref="B55:C55"/>
    <mergeCell ref="B56:C56"/>
    <mergeCell ref="B69:C69"/>
    <mergeCell ref="B70:C70"/>
    <mergeCell ref="A71:C71"/>
    <mergeCell ref="B72:C72"/>
    <mergeCell ref="B73:C73"/>
    <mergeCell ref="B74:C74"/>
    <mergeCell ref="B63:C63"/>
    <mergeCell ref="B64:C64"/>
    <mergeCell ref="A65:C65"/>
    <mergeCell ref="A66:C66"/>
    <mergeCell ref="B67:C67"/>
    <mergeCell ref="B68:C68"/>
    <mergeCell ref="B81:C81"/>
    <mergeCell ref="B82:C82"/>
    <mergeCell ref="B83:B95"/>
    <mergeCell ref="B96:C96"/>
    <mergeCell ref="A97:C97"/>
    <mergeCell ref="B98:B100"/>
    <mergeCell ref="B75:C75"/>
    <mergeCell ref="B76:C76"/>
    <mergeCell ref="A77:C77"/>
    <mergeCell ref="B78:C78"/>
    <mergeCell ref="B79:C79"/>
    <mergeCell ref="B80:C80"/>
    <mergeCell ref="B110:C110"/>
    <mergeCell ref="A111:C111"/>
    <mergeCell ref="A112:C112"/>
    <mergeCell ref="B113:C113"/>
    <mergeCell ref="B114:C114"/>
    <mergeCell ref="A115:C115"/>
    <mergeCell ref="A101:C101"/>
    <mergeCell ref="B102:B105"/>
    <mergeCell ref="A106:C106"/>
    <mergeCell ref="B107:C107"/>
    <mergeCell ref="B108:C108"/>
    <mergeCell ref="B109:C109"/>
    <mergeCell ref="F125:G125"/>
    <mergeCell ref="F126:G126"/>
    <mergeCell ref="F127:G127"/>
    <mergeCell ref="F133:G133"/>
    <mergeCell ref="A116:C116"/>
    <mergeCell ref="A117:C117"/>
    <mergeCell ref="B118:C118"/>
    <mergeCell ref="A119:C119"/>
    <mergeCell ref="B120:C120"/>
    <mergeCell ref="A121:C121"/>
  </mergeCells>
  <pageMargins left="1.7" right="0.28999999999999998" top="0.56999999999999995" bottom="0.39" header="0.3" footer="0.3"/>
  <pageSetup paperSize="8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8"/>
  <sheetViews>
    <sheetView tabSelected="1" topLeftCell="A2" zoomScaleNormal="100" workbookViewId="0">
      <selection activeCell="Q125" sqref="Q125"/>
    </sheetView>
  </sheetViews>
  <sheetFormatPr defaultColWidth="9" defaultRowHeight="12.75"/>
  <cols>
    <col min="1" max="1" width="3.875" style="31" bestFit="1" customWidth="1"/>
    <col min="2" max="2" width="35" style="30" customWidth="1"/>
    <col min="3" max="4" width="10.625" style="30" customWidth="1"/>
    <col min="5" max="5" width="8.875" style="30" customWidth="1"/>
    <col min="6" max="6" width="12.25" style="30" customWidth="1"/>
    <col min="7" max="7" width="9.25" style="30" customWidth="1"/>
    <col min="8" max="8" width="14.875" style="30" customWidth="1"/>
    <col min="9" max="9" width="0" style="30" hidden="1" customWidth="1"/>
    <col min="10" max="10" width="10.875" style="30" hidden="1" customWidth="1"/>
    <col min="11" max="11" width="9.75" style="30" hidden="1" customWidth="1"/>
    <col min="12" max="12" width="8.75" style="30" hidden="1" customWidth="1"/>
    <col min="13" max="13" width="9.75" style="30" hidden="1" customWidth="1"/>
    <col min="14" max="15" width="0" style="30" hidden="1" customWidth="1"/>
    <col min="16" max="16384" width="9" style="30"/>
  </cols>
  <sheetData>
    <row r="1" spans="1:12">
      <c r="A1" s="126" t="s">
        <v>273</v>
      </c>
      <c r="B1" s="126"/>
      <c r="C1" s="126"/>
      <c r="D1" s="126"/>
      <c r="E1" s="126"/>
      <c r="F1" s="126"/>
      <c r="G1" s="126"/>
      <c r="H1" s="126"/>
    </row>
    <row r="2" spans="1:12">
      <c r="A2" s="126" t="s">
        <v>274</v>
      </c>
      <c r="B2" s="126"/>
      <c r="C2" s="126"/>
      <c r="D2" s="126"/>
      <c r="E2" s="126"/>
      <c r="F2" s="126"/>
      <c r="G2" s="126"/>
      <c r="H2" s="126"/>
    </row>
    <row r="3" spans="1:12">
      <c r="A3" s="126" t="s">
        <v>275</v>
      </c>
      <c r="B3" s="126"/>
      <c r="C3" s="126"/>
      <c r="D3" s="126"/>
      <c r="E3" s="126"/>
      <c r="F3" s="126"/>
      <c r="G3" s="126"/>
      <c r="H3" s="126"/>
    </row>
    <row r="4" spans="1:12" ht="7.5" customHeight="1"/>
    <row r="5" spans="1:12">
      <c r="A5" s="127" t="s">
        <v>71</v>
      </c>
      <c r="B5" s="127"/>
      <c r="C5" s="127"/>
      <c r="D5" s="127"/>
      <c r="E5" s="127"/>
      <c r="F5" s="127"/>
      <c r="G5" s="127"/>
      <c r="H5" s="127"/>
    </row>
    <row r="6" spans="1:12" ht="7.5" customHeight="1">
      <c r="B6" s="32"/>
      <c r="C6" s="32"/>
      <c r="D6" s="32"/>
      <c r="E6" s="32"/>
      <c r="F6" s="32"/>
    </row>
    <row r="7" spans="1:12">
      <c r="A7" s="127" t="s">
        <v>276</v>
      </c>
      <c r="B7" s="127"/>
      <c r="C7" s="127"/>
      <c r="D7" s="127"/>
      <c r="E7" s="127"/>
      <c r="F7" s="127"/>
      <c r="G7" s="127"/>
      <c r="H7" s="127"/>
    </row>
    <row r="8" spans="1:12" ht="12.75" customHeight="1">
      <c r="B8" s="33"/>
      <c r="C8" s="33"/>
      <c r="D8" s="33"/>
      <c r="E8" s="33"/>
      <c r="F8" s="33"/>
    </row>
    <row r="9" spans="1:12">
      <c r="A9" s="126" t="s">
        <v>265</v>
      </c>
      <c r="B9" s="126"/>
      <c r="C9" s="126"/>
      <c r="D9" s="126"/>
      <c r="E9" s="126"/>
      <c r="F9" s="126"/>
      <c r="G9" s="126"/>
      <c r="H9" s="126"/>
    </row>
    <row r="10" spans="1:12">
      <c r="A10" s="34"/>
      <c r="B10" s="34"/>
      <c r="C10" s="34"/>
      <c r="D10" s="34"/>
      <c r="E10" s="34"/>
      <c r="F10" s="34"/>
      <c r="G10" s="34"/>
      <c r="H10" s="34"/>
    </row>
    <row r="11" spans="1:12">
      <c r="A11" s="126" t="s">
        <v>81</v>
      </c>
      <c r="B11" s="126"/>
      <c r="C11" s="126"/>
      <c r="D11" s="126"/>
      <c r="E11" s="126"/>
      <c r="F11" s="126"/>
      <c r="G11" s="126"/>
      <c r="H11" s="126"/>
    </row>
    <row r="12" spans="1:12" ht="30" customHeight="1">
      <c r="A12" s="129" t="s">
        <v>49</v>
      </c>
      <c r="B12" s="129" t="s">
        <v>8</v>
      </c>
      <c r="C12" s="130" t="s">
        <v>45</v>
      </c>
      <c r="D12" s="130" t="s">
        <v>46</v>
      </c>
      <c r="E12" s="132" t="s">
        <v>47</v>
      </c>
      <c r="F12" s="132"/>
      <c r="G12" s="132" t="s">
        <v>48</v>
      </c>
      <c r="H12" s="132"/>
      <c r="I12" s="30" t="s">
        <v>47</v>
      </c>
      <c r="K12" s="30" t="s">
        <v>48</v>
      </c>
    </row>
    <row r="13" spans="1:12">
      <c r="A13" s="129"/>
      <c r="B13" s="129"/>
      <c r="C13" s="131"/>
      <c r="D13" s="131"/>
      <c r="E13" s="35" t="s">
        <v>9</v>
      </c>
      <c r="F13" s="35" t="s">
        <v>0</v>
      </c>
      <c r="G13" s="35" t="s">
        <v>9</v>
      </c>
      <c r="H13" s="35" t="s">
        <v>0</v>
      </c>
      <c r="I13" s="30" t="s">
        <v>9</v>
      </c>
      <c r="J13" s="30" t="s">
        <v>0</v>
      </c>
      <c r="K13" s="30" t="s">
        <v>9</v>
      </c>
      <c r="L13" s="30" t="s">
        <v>0</v>
      </c>
    </row>
    <row r="14" spans="1:12">
      <c r="A14" s="35">
        <v>0</v>
      </c>
      <c r="B14" s="35">
        <v>1</v>
      </c>
      <c r="C14" s="36">
        <v>2</v>
      </c>
      <c r="D14" s="36">
        <v>3</v>
      </c>
      <c r="E14" s="35">
        <v>4</v>
      </c>
      <c r="F14" s="35">
        <v>5</v>
      </c>
      <c r="G14" s="35">
        <v>6</v>
      </c>
      <c r="H14" s="35">
        <v>7</v>
      </c>
      <c r="I14" s="30">
        <v>4</v>
      </c>
      <c r="J14" s="30">
        <v>5</v>
      </c>
      <c r="K14" s="30">
        <v>6</v>
      </c>
      <c r="L14" s="30">
        <v>7</v>
      </c>
    </row>
    <row r="15" spans="1:12">
      <c r="A15" s="37">
        <v>1</v>
      </c>
      <c r="B15" s="38" t="s">
        <v>5</v>
      </c>
      <c r="C15" s="37" t="s">
        <v>72</v>
      </c>
      <c r="D15" s="39">
        <v>56000</v>
      </c>
      <c r="E15" s="40">
        <v>0</v>
      </c>
      <c r="F15" s="39">
        <f>+E15*D15</f>
        <v>0</v>
      </c>
      <c r="G15" s="40">
        <v>24</v>
      </c>
      <c r="H15" s="39">
        <f>+G15*D15</f>
        <v>1344000</v>
      </c>
      <c r="J15" s="30">
        <v>0</v>
      </c>
      <c r="K15" s="30">
        <v>24</v>
      </c>
      <c r="L15" s="30">
        <v>1344000</v>
      </c>
    </row>
    <row r="16" spans="1:12" hidden="1">
      <c r="A16" s="37">
        <v>2</v>
      </c>
      <c r="B16" s="38" t="s">
        <v>10</v>
      </c>
      <c r="C16" s="37" t="s">
        <v>73</v>
      </c>
      <c r="D16" s="39">
        <v>49000</v>
      </c>
      <c r="E16" s="40"/>
      <c r="F16" s="39">
        <f>+E16*D16</f>
        <v>0</v>
      </c>
      <c r="G16" s="40">
        <f>+E16</f>
        <v>0</v>
      </c>
      <c r="H16" s="39">
        <f>+G16*D16</f>
        <v>0</v>
      </c>
      <c r="J16" s="30">
        <v>0</v>
      </c>
      <c r="K16" s="30">
        <v>30</v>
      </c>
      <c r="L16" s="30">
        <v>1470000</v>
      </c>
    </row>
    <row r="17" spans="1:14">
      <c r="A17" s="41" t="s">
        <v>26</v>
      </c>
      <c r="B17" s="42" t="s">
        <v>54</v>
      </c>
      <c r="C17" s="41"/>
      <c r="D17" s="43"/>
      <c r="E17" s="44"/>
      <c r="F17" s="43">
        <f>SUM(F15:F16)</f>
        <v>0</v>
      </c>
      <c r="G17" s="44"/>
      <c r="H17" s="43">
        <f>SUM(H15:H16)</f>
        <v>1344000</v>
      </c>
      <c r="J17" s="30">
        <v>0</v>
      </c>
      <c r="L17" s="30">
        <v>2814000</v>
      </c>
    </row>
    <row r="18" spans="1:14" hidden="1">
      <c r="A18" s="37">
        <v>5</v>
      </c>
      <c r="B18" s="38" t="s">
        <v>25</v>
      </c>
      <c r="C18" s="37" t="s">
        <v>75</v>
      </c>
      <c r="D18" s="39">
        <v>48600</v>
      </c>
      <c r="E18" s="40"/>
      <c r="F18" s="39">
        <f>D18*E18</f>
        <v>0</v>
      </c>
      <c r="G18" s="40">
        <f>+E18</f>
        <v>0</v>
      </c>
      <c r="H18" s="39">
        <f>D18*G18</f>
        <v>0</v>
      </c>
      <c r="I18" s="30">
        <v>0</v>
      </c>
      <c r="J18" s="30">
        <v>0</v>
      </c>
      <c r="K18" s="30">
        <v>1345</v>
      </c>
      <c r="L18" s="30">
        <v>65367000</v>
      </c>
      <c r="N18" s="30">
        <f>+G18+405</f>
        <v>405</v>
      </c>
    </row>
    <row r="19" spans="1:14" ht="12.75" hidden="1" customHeight="1">
      <c r="A19" s="37">
        <v>6</v>
      </c>
      <c r="B19" s="38" t="s">
        <v>11</v>
      </c>
      <c r="C19" s="37" t="s">
        <v>76</v>
      </c>
      <c r="D19" s="39">
        <v>34000</v>
      </c>
      <c r="E19" s="40"/>
      <c r="F19" s="39">
        <f>E19*D19</f>
        <v>0</v>
      </c>
      <c r="G19" s="40">
        <f t="shared" ref="G19:G53" si="0">+E19</f>
        <v>0</v>
      </c>
      <c r="H19" s="39">
        <f>G19*D19</f>
        <v>0</v>
      </c>
      <c r="J19" s="30">
        <v>0</v>
      </c>
      <c r="L19" s="30">
        <v>0</v>
      </c>
    </row>
    <row r="20" spans="1:14" ht="12.75" hidden="1" customHeight="1">
      <c r="A20" s="37">
        <v>7</v>
      </c>
      <c r="B20" s="38" t="s">
        <v>4</v>
      </c>
      <c r="C20" s="37" t="s">
        <v>76</v>
      </c>
      <c r="D20" s="39">
        <v>41000</v>
      </c>
      <c r="E20" s="45"/>
      <c r="F20" s="39">
        <f>D20*E20</f>
        <v>0</v>
      </c>
      <c r="G20" s="40">
        <f t="shared" si="0"/>
        <v>0</v>
      </c>
      <c r="H20" s="39">
        <f>+G20*D20</f>
        <v>0</v>
      </c>
      <c r="J20" s="30">
        <v>0</v>
      </c>
      <c r="K20" s="30">
        <v>29</v>
      </c>
      <c r="L20" s="30">
        <v>1189000</v>
      </c>
    </row>
    <row r="21" spans="1:14" hidden="1">
      <c r="A21" s="37">
        <v>8</v>
      </c>
      <c r="B21" s="38" t="s">
        <v>12</v>
      </c>
      <c r="C21" s="37" t="s">
        <v>77</v>
      </c>
      <c r="D21" s="39">
        <v>19900</v>
      </c>
      <c r="E21" s="40"/>
      <c r="F21" s="39">
        <f>+E21*D21</f>
        <v>0</v>
      </c>
      <c r="G21" s="40">
        <f t="shared" si="0"/>
        <v>0</v>
      </c>
      <c r="H21" s="39">
        <f>G21*D21</f>
        <v>0</v>
      </c>
      <c r="J21" s="30">
        <v>0</v>
      </c>
      <c r="K21" s="30">
        <v>117</v>
      </c>
      <c r="L21" s="30">
        <v>2328300</v>
      </c>
    </row>
    <row r="22" spans="1:14" ht="12.75" hidden="1" customHeight="1">
      <c r="A22" s="37">
        <v>9</v>
      </c>
      <c r="B22" s="38" t="s">
        <v>13</v>
      </c>
      <c r="C22" s="37" t="s">
        <v>77</v>
      </c>
      <c r="D22" s="39">
        <v>4250</v>
      </c>
      <c r="E22" s="40"/>
      <c r="F22" s="39">
        <f>D22*E22</f>
        <v>0</v>
      </c>
      <c r="G22" s="40">
        <f t="shared" si="0"/>
        <v>0</v>
      </c>
      <c r="H22" s="39">
        <f>G22*D22</f>
        <v>0</v>
      </c>
      <c r="J22" s="30">
        <v>0</v>
      </c>
      <c r="K22" s="30">
        <v>157</v>
      </c>
      <c r="L22" s="30">
        <v>667250</v>
      </c>
    </row>
    <row r="23" spans="1:14" hidden="1">
      <c r="A23" s="37">
        <v>10</v>
      </c>
      <c r="B23" s="38" t="s">
        <v>82</v>
      </c>
      <c r="C23" s="37" t="s">
        <v>77</v>
      </c>
      <c r="D23" s="39">
        <v>5850</v>
      </c>
      <c r="E23" s="40"/>
      <c r="F23" s="39">
        <f>D23*E23</f>
        <v>0</v>
      </c>
      <c r="G23" s="40">
        <f t="shared" si="0"/>
        <v>0</v>
      </c>
      <c r="H23" s="39">
        <f>G23*D23</f>
        <v>0</v>
      </c>
      <c r="J23" s="30">
        <v>0</v>
      </c>
      <c r="K23" s="30">
        <v>117</v>
      </c>
      <c r="L23" s="30">
        <v>684450</v>
      </c>
    </row>
    <row r="24" spans="1:14" hidden="1">
      <c r="A24" s="37">
        <v>11</v>
      </c>
      <c r="B24" s="46" t="s">
        <v>101</v>
      </c>
      <c r="C24" s="37" t="s">
        <v>77</v>
      </c>
      <c r="D24" s="39">
        <v>5850</v>
      </c>
      <c r="E24" s="39"/>
      <c r="F24" s="39">
        <f>+E24*D24</f>
        <v>0</v>
      </c>
      <c r="G24" s="40">
        <f t="shared" si="0"/>
        <v>0</v>
      </c>
      <c r="H24" s="39">
        <f>+G24*D24</f>
        <v>0</v>
      </c>
      <c r="I24" s="30">
        <v>100</v>
      </c>
      <c r="J24" s="30">
        <v>585000</v>
      </c>
      <c r="K24" s="30">
        <v>100</v>
      </c>
      <c r="L24" s="30">
        <v>585000</v>
      </c>
    </row>
    <row r="25" spans="1:14" hidden="1">
      <c r="A25" s="41" t="s">
        <v>27</v>
      </c>
      <c r="B25" s="42" t="s">
        <v>55</v>
      </c>
      <c r="C25" s="41"/>
      <c r="D25" s="43"/>
      <c r="E25" s="44"/>
      <c r="F25" s="43">
        <f>SUM(F18:F24)</f>
        <v>0</v>
      </c>
      <c r="G25" s="44"/>
      <c r="H25" s="43">
        <f>SUM(H18:H24)</f>
        <v>0</v>
      </c>
      <c r="J25" s="30">
        <v>585000</v>
      </c>
      <c r="L25" s="30">
        <v>70821000</v>
      </c>
      <c r="M25" s="66">
        <f>+L25+F25</f>
        <v>70821000</v>
      </c>
    </row>
    <row r="26" spans="1:14" hidden="1">
      <c r="A26" s="37">
        <v>12</v>
      </c>
      <c r="B26" s="38" t="s">
        <v>15</v>
      </c>
      <c r="C26" s="37" t="s">
        <v>92</v>
      </c>
      <c r="D26" s="39">
        <v>16500</v>
      </c>
      <c r="E26" s="40"/>
      <c r="F26" s="39">
        <f>+D26*E26</f>
        <v>0</v>
      </c>
      <c r="G26" s="40">
        <f t="shared" si="0"/>
        <v>0</v>
      </c>
      <c r="H26" s="39">
        <f>+G26*D26</f>
        <v>0</v>
      </c>
      <c r="J26" s="30">
        <v>0</v>
      </c>
      <c r="K26" s="30">
        <v>15.2</v>
      </c>
      <c r="L26" s="30">
        <v>205200</v>
      </c>
    </row>
    <row r="27" spans="1:14" hidden="1">
      <c r="A27" s="37">
        <v>13</v>
      </c>
      <c r="B27" s="30" t="s">
        <v>124</v>
      </c>
      <c r="C27" s="67" t="s">
        <v>125</v>
      </c>
      <c r="D27" s="39">
        <v>13500</v>
      </c>
      <c r="E27" s="40"/>
      <c r="F27" s="39">
        <f>+E27*D27</f>
        <v>0</v>
      </c>
      <c r="G27" s="40">
        <f t="shared" si="0"/>
        <v>0</v>
      </c>
      <c r="H27" s="39">
        <f>+G27*D27</f>
        <v>0</v>
      </c>
      <c r="J27" s="30">
        <v>0</v>
      </c>
      <c r="K27" s="30">
        <v>0.6</v>
      </c>
      <c r="L27" s="30">
        <v>9900</v>
      </c>
    </row>
    <row r="28" spans="1:14" hidden="1">
      <c r="A28" s="37">
        <v>14</v>
      </c>
      <c r="B28" s="38" t="s">
        <v>129</v>
      </c>
      <c r="C28" s="37" t="s">
        <v>125</v>
      </c>
      <c r="D28" s="39">
        <v>9500</v>
      </c>
      <c r="E28" s="40"/>
      <c r="F28" s="39">
        <f>D28*E28</f>
        <v>0</v>
      </c>
      <c r="G28" s="40">
        <f t="shared" si="0"/>
        <v>0</v>
      </c>
      <c r="H28" s="39">
        <f>G28*D28</f>
        <v>0</v>
      </c>
      <c r="J28" s="30">
        <v>0</v>
      </c>
      <c r="K28" s="30">
        <v>117</v>
      </c>
      <c r="L28" s="30">
        <v>140400</v>
      </c>
    </row>
    <row r="29" spans="1:14" hidden="1">
      <c r="A29" s="37">
        <v>15</v>
      </c>
      <c r="B29" s="38" t="s">
        <v>17</v>
      </c>
      <c r="C29" s="37" t="s">
        <v>92</v>
      </c>
      <c r="D29" s="39">
        <v>7500</v>
      </c>
      <c r="E29" s="40"/>
      <c r="F29" s="39">
        <f>+E29*D29</f>
        <v>0</v>
      </c>
      <c r="G29" s="40">
        <f t="shared" si="0"/>
        <v>0</v>
      </c>
      <c r="H29" s="39">
        <f>+G29*D29</f>
        <v>0</v>
      </c>
      <c r="J29" s="30">
        <v>0</v>
      </c>
      <c r="K29" s="30">
        <v>18.899999999999999</v>
      </c>
      <c r="L29" s="30">
        <v>141750</v>
      </c>
    </row>
    <row r="30" spans="1:14" hidden="1">
      <c r="A30" s="37">
        <v>16</v>
      </c>
      <c r="B30" s="30" t="s">
        <v>167</v>
      </c>
      <c r="C30" s="37" t="s">
        <v>78</v>
      </c>
      <c r="D30" s="39">
        <v>1200</v>
      </c>
      <c r="E30" s="40"/>
      <c r="F30" s="39">
        <f>+E30*D30</f>
        <v>0</v>
      </c>
      <c r="G30" s="40">
        <f t="shared" si="0"/>
        <v>0</v>
      </c>
      <c r="H30" s="39">
        <f>+G30*D30</f>
        <v>0</v>
      </c>
      <c r="J30" s="30">
        <v>0</v>
      </c>
      <c r="K30" s="30">
        <v>2</v>
      </c>
      <c r="L30" s="30">
        <v>19000</v>
      </c>
    </row>
    <row r="31" spans="1:14" hidden="1">
      <c r="A31" s="41" t="s">
        <v>28</v>
      </c>
      <c r="B31" s="42" t="s">
        <v>57</v>
      </c>
      <c r="C31" s="41"/>
      <c r="D31" s="43"/>
      <c r="E31" s="44"/>
      <c r="F31" s="43">
        <f>SUM(F26:F30)</f>
        <v>0</v>
      </c>
      <c r="G31" s="44"/>
      <c r="H31" s="43">
        <f>SUM(H26:H30)</f>
        <v>0</v>
      </c>
      <c r="J31" s="30">
        <v>0</v>
      </c>
      <c r="L31" s="30">
        <v>516250</v>
      </c>
    </row>
    <row r="32" spans="1:14" hidden="1">
      <c r="A32" s="37">
        <v>17</v>
      </c>
      <c r="B32" s="38" t="s">
        <v>130</v>
      </c>
      <c r="C32" s="37" t="s">
        <v>77</v>
      </c>
      <c r="D32" s="39">
        <v>6200</v>
      </c>
      <c r="E32" s="40"/>
      <c r="F32" s="39">
        <f t="shared" ref="F32:F45" si="1">+E32*D32</f>
        <v>0</v>
      </c>
      <c r="G32" s="40">
        <f t="shared" si="0"/>
        <v>0</v>
      </c>
      <c r="H32" s="39">
        <f t="shared" ref="H32:H45" si="2">+G32*D32</f>
        <v>0</v>
      </c>
      <c r="J32" s="30">
        <v>0</v>
      </c>
      <c r="K32" s="30">
        <v>5</v>
      </c>
      <c r="L32" s="30">
        <v>31000</v>
      </c>
    </row>
    <row r="33" spans="1:12" hidden="1">
      <c r="A33" s="37">
        <v>18</v>
      </c>
      <c r="B33" s="38" t="s">
        <v>131</v>
      </c>
      <c r="C33" s="37" t="s">
        <v>77</v>
      </c>
      <c r="D33" s="39">
        <v>8200</v>
      </c>
      <c r="E33" s="40"/>
      <c r="F33" s="39">
        <f t="shared" si="1"/>
        <v>0</v>
      </c>
      <c r="G33" s="40">
        <f t="shared" si="0"/>
        <v>0</v>
      </c>
      <c r="H33" s="39">
        <f t="shared" si="2"/>
        <v>0</v>
      </c>
      <c r="J33" s="30">
        <v>0</v>
      </c>
      <c r="K33" s="30">
        <v>6</v>
      </c>
      <c r="L33" s="30">
        <v>49200</v>
      </c>
    </row>
    <row r="34" spans="1:12" hidden="1">
      <c r="A34" s="37">
        <v>19</v>
      </c>
      <c r="B34" s="38" t="s">
        <v>90</v>
      </c>
      <c r="C34" s="37" t="s">
        <v>77</v>
      </c>
      <c r="D34" s="39">
        <v>6200</v>
      </c>
      <c r="E34" s="40"/>
      <c r="F34" s="39">
        <f t="shared" si="1"/>
        <v>0</v>
      </c>
      <c r="G34" s="40">
        <f t="shared" si="0"/>
        <v>0</v>
      </c>
      <c r="H34" s="39">
        <f t="shared" si="2"/>
        <v>0</v>
      </c>
      <c r="J34" s="30">
        <v>0</v>
      </c>
      <c r="K34" s="30">
        <v>98</v>
      </c>
      <c r="L34" s="30">
        <v>607600</v>
      </c>
    </row>
    <row r="35" spans="1:12" hidden="1">
      <c r="A35" s="37"/>
      <c r="B35" s="38" t="s">
        <v>171</v>
      </c>
      <c r="C35" s="37" t="s">
        <v>77</v>
      </c>
      <c r="D35" s="39">
        <v>6500</v>
      </c>
      <c r="E35" s="40"/>
      <c r="F35" s="39">
        <f t="shared" si="1"/>
        <v>0</v>
      </c>
      <c r="G35" s="40">
        <f t="shared" si="0"/>
        <v>0</v>
      </c>
      <c r="H35" s="39">
        <f t="shared" si="2"/>
        <v>0</v>
      </c>
    </row>
    <row r="36" spans="1:12" hidden="1">
      <c r="A36" s="37"/>
      <c r="B36" s="38" t="s">
        <v>172</v>
      </c>
      <c r="C36" s="37" t="s">
        <v>77</v>
      </c>
      <c r="D36" s="39">
        <v>14000</v>
      </c>
      <c r="E36" s="40"/>
      <c r="F36" s="39">
        <f t="shared" si="1"/>
        <v>0</v>
      </c>
      <c r="G36" s="40">
        <f t="shared" si="0"/>
        <v>0</v>
      </c>
      <c r="H36" s="39">
        <f t="shared" si="2"/>
        <v>0</v>
      </c>
    </row>
    <row r="37" spans="1:12" hidden="1">
      <c r="A37" s="37"/>
      <c r="B37" s="38" t="s">
        <v>173</v>
      </c>
      <c r="C37" s="37" t="s">
        <v>77</v>
      </c>
      <c r="D37" s="39">
        <v>32000</v>
      </c>
      <c r="E37" s="40"/>
      <c r="F37" s="39">
        <f t="shared" si="1"/>
        <v>0</v>
      </c>
      <c r="G37" s="40">
        <f t="shared" si="0"/>
        <v>0</v>
      </c>
      <c r="H37" s="39">
        <f t="shared" si="2"/>
        <v>0</v>
      </c>
    </row>
    <row r="38" spans="1:12" hidden="1">
      <c r="A38" s="37"/>
      <c r="B38" s="38" t="s">
        <v>174</v>
      </c>
      <c r="C38" s="37" t="s">
        <v>77</v>
      </c>
      <c r="D38" s="39">
        <v>16000</v>
      </c>
      <c r="E38" s="40"/>
      <c r="F38" s="39">
        <f t="shared" si="1"/>
        <v>0</v>
      </c>
      <c r="G38" s="40">
        <f t="shared" si="0"/>
        <v>0</v>
      </c>
      <c r="H38" s="39">
        <f t="shared" si="2"/>
        <v>0</v>
      </c>
    </row>
    <row r="39" spans="1:12" hidden="1">
      <c r="A39" s="37"/>
      <c r="B39" s="38" t="s">
        <v>261</v>
      </c>
      <c r="C39" s="37" t="s">
        <v>77</v>
      </c>
      <c r="D39" s="39">
        <v>5500</v>
      </c>
      <c r="E39" s="40"/>
      <c r="F39" s="39">
        <f t="shared" si="1"/>
        <v>0</v>
      </c>
      <c r="G39" s="40">
        <f t="shared" si="0"/>
        <v>0</v>
      </c>
      <c r="H39" s="39">
        <f t="shared" si="2"/>
        <v>0</v>
      </c>
    </row>
    <row r="40" spans="1:12" ht="12.75" hidden="1" customHeight="1">
      <c r="A40" s="37">
        <v>20</v>
      </c>
      <c r="B40" s="38" t="s">
        <v>126</v>
      </c>
      <c r="C40" s="37" t="s">
        <v>92</v>
      </c>
      <c r="D40" s="39">
        <v>58000</v>
      </c>
      <c r="E40" s="40"/>
      <c r="F40" s="39">
        <f t="shared" si="1"/>
        <v>0</v>
      </c>
      <c r="G40" s="40">
        <f t="shared" si="0"/>
        <v>0</v>
      </c>
      <c r="H40" s="39">
        <f t="shared" si="2"/>
        <v>0</v>
      </c>
      <c r="J40" s="30">
        <v>0</v>
      </c>
      <c r="L40" s="30">
        <v>0</v>
      </c>
    </row>
    <row r="41" spans="1:12" ht="12.75" hidden="1" customHeight="1">
      <c r="A41" s="37">
        <v>21</v>
      </c>
      <c r="B41" s="38" t="s">
        <v>91</v>
      </c>
      <c r="C41" s="37" t="s">
        <v>92</v>
      </c>
      <c r="D41" s="39">
        <v>58000</v>
      </c>
      <c r="E41" s="40"/>
      <c r="F41" s="39">
        <f t="shared" si="1"/>
        <v>0</v>
      </c>
      <c r="G41" s="40">
        <f t="shared" si="0"/>
        <v>0</v>
      </c>
      <c r="H41" s="39">
        <f t="shared" si="2"/>
        <v>0</v>
      </c>
    </row>
    <row r="42" spans="1:12" hidden="1">
      <c r="A42" s="37">
        <v>22</v>
      </c>
      <c r="B42" s="38" t="s">
        <v>135</v>
      </c>
      <c r="C42" s="37" t="s">
        <v>77</v>
      </c>
      <c r="D42" s="39">
        <v>12000</v>
      </c>
      <c r="E42" s="40"/>
      <c r="F42" s="39">
        <f t="shared" si="1"/>
        <v>0</v>
      </c>
      <c r="G42" s="40">
        <f t="shared" si="0"/>
        <v>0</v>
      </c>
      <c r="H42" s="39">
        <f t="shared" si="2"/>
        <v>0</v>
      </c>
      <c r="J42" s="30">
        <v>0</v>
      </c>
      <c r="K42" s="30">
        <v>38</v>
      </c>
      <c r="L42" s="30">
        <v>209000</v>
      </c>
    </row>
    <row r="43" spans="1:12" hidden="1">
      <c r="A43" s="37">
        <v>23</v>
      </c>
      <c r="B43" s="38" t="s">
        <v>89</v>
      </c>
      <c r="C43" s="37" t="s">
        <v>77</v>
      </c>
      <c r="D43" s="39">
        <v>6300</v>
      </c>
      <c r="E43" s="40"/>
      <c r="F43" s="39">
        <f t="shared" si="1"/>
        <v>0</v>
      </c>
      <c r="G43" s="40">
        <f t="shared" si="0"/>
        <v>0</v>
      </c>
      <c r="H43" s="39">
        <f t="shared" si="2"/>
        <v>0</v>
      </c>
      <c r="J43" s="30">
        <v>0</v>
      </c>
      <c r="K43" s="30">
        <v>0.9</v>
      </c>
      <c r="L43" s="30">
        <v>52200</v>
      </c>
    </row>
    <row r="44" spans="1:12" hidden="1">
      <c r="A44" s="37">
        <v>24</v>
      </c>
      <c r="B44" s="56" t="s">
        <v>136</v>
      </c>
      <c r="C44" s="37" t="s">
        <v>77</v>
      </c>
      <c r="D44" s="39">
        <v>6300</v>
      </c>
      <c r="E44" s="40"/>
      <c r="F44" s="39">
        <f t="shared" si="1"/>
        <v>0</v>
      </c>
      <c r="G44" s="40">
        <f t="shared" si="0"/>
        <v>0</v>
      </c>
      <c r="H44" s="39">
        <f t="shared" si="2"/>
        <v>0</v>
      </c>
      <c r="J44" s="30">
        <v>0</v>
      </c>
      <c r="K44" s="30">
        <v>2.8</v>
      </c>
      <c r="L44" s="30">
        <v>162400</v>
      </c>
    </row>
    <row r="45" spans="1:12" hidden="1">
      <c r="A45" s="37"/>
      <c r="B45" s="56" t="s">
        <v>177</v>
      </c>
      <c r="C45" s="37" t="s">
        <v>77</v>
      </c>
      <c r="D45" s="39">
        <v>7500</v>
      </c>
      <c r="E45" s="40"/>
      <c r="F45" s="39">
        <f t="shared" si="1"/>
        <v>0</v>
      </c>
      <c r="G45" s="40">
        <f t="shared" si="0"/>
        <v>0</v>
      </c>
      <c r="H45" s="39">
        <f t="shared" si="2"/>
        <v>0</v>
      </c>
    </row>
    <row r="46" spans="1:12" hidden="1">
      <c r="A46" s="37">
        <v>25</v>
      </c>
      <c r="B46" s="38" t="s">
        <v>137</v>
      </c>
      <c r="C46" s="37" t="s">
        <v>138</v>
      </c>
      <c r="D46" s="39">
        <v>19000</v>
      </c>
      <c r="E46" s="40"/>
      <c r="F46" s="39">
        <f t="shared" ref="F46:F48" si="3">+E46*D46</f>
        <v>0</v>
      </c>
      <c r="G46" s="40">
        <f t="shared" si="0"/>
        <v>0</v>
      </c>
      <c r="H46" s="39">
        <f t="shared" ref="H46:H48" si="4">+G46*D46</f>
        <v>0</v>
      </c>
      <c r="J46" s="30">
        <v>0</v>
      </c>
      <c r="K46" s="30">
        <v>4</v>
      </c>
      <c r="L46" s="30">
        <v>48000</v>
      </c>
    </row>
    <row r="47" spans="1:12" hidden="1">
      <c r="A47" s="37">
        <v>26</v>
      </c>
      <c r="B47" s="38" t="s">
        <v>18</v>
      </c>
      <c r="C47" s="37" t="s">
        <v>77</v>
      </c>
      <c r="D47" s="39">
        <v>45000</v>
      </c>
      <c r="E47" s="40"/>
      <c r="F47" s="39">
        <f t="shared" si="3"/>
        <v>0</v>
      </c>
      <c r="G47" s="40">
        <f t="shared" si="0"/>
        <v>0</v>
      </c>
      <c r="H47" s="39">
        <f>+G47*D47</f>
        <v>0</v>
      </c>
      <c r="I47" s="30">
        <v>20</v>
      </c>
      <c r="J47" s="30">
        <v>126000</v>
      </c>
      <c r="K47" s="30">
        <v>70</v>
      </c>
      <c r="L47" s="30">
        <v>441000</v>
      </c>
    </row>
    <row r="48" spans="1:12" hidden="1">
      <c r="A48" s="37">
        <v>27</v>
      </c>
      <c r="B48" s="30" t="s">
        <v>180</v>
      </c>
      <c r="C48" s="37" t="s">
        <v>77</v>
      </c>
      <c r="D48" s="39">
        <v>6000</v>
      </c>
      <c r="E48" s="56"/>
      <c r="F48" s="39">
        <f t="shared" si="3"/>
        <v>0</v>
      </c>
      <c r="G48" s="40">
        <f t="shared" si="0"/>
        <v>0</v>
      </c>
      <c r="H48" s="39">
        <f t="shared" si="4"/>
        <v>0</v>
      </c>
      <c r="J48" s="30">
        <v>0</v>
      </c>
      <c r="K48" s="30">
        <v>10</v>
      </c>
      <c r="L48" s="30">
        <v>63000</v>
      </c>
    </row>
    <row r="49" spans="1:13" hidden="1">
      <c r="A49" s="41" t="s">
        <v>29</v>
      </c>
      <c r="B49" s="42" t="s">
        <v>102</v>
      </c>
      <c r="C49" s="41"/>
      <c r="D49" s="43"/>
      <c r="E49" s="44"/>
      <c r="F49" s="43">
        <f>SUM(F32:F48)</f>
        <v>0</v>
      </c>
      <c r="G49" s="44"/>
      <c r="H49" s="43">
        <f>SUM(H32:H48)</f>
        <v>0</v>
      </c>
      <c r="J49" s="30">
        <v>126000</v>
      </c>
      <c r="L49" s="30">
        <v>1967400</v>
      </c>
      <c r="M49" s="66">
        <f>+L49+F49</f>
        <v>1967400</v>
      </c>
    </row>
    <row r="50" spans="1:13" hidden="1">
      <c r="A50" s="37">
        <v>29</v>
      </c>
      <c r="B50" s="46" t="s">
        <v>262</v>
      </c>
      <c r="C50" s="37" t="s">
        <v>76</v>
      </c>
      <c r="D50" s="47">
        <v>30000</v>
      </c>
      <c r="E50" s="48"/>
      <c r="F50" s="47">
        <f>+E50*D50</f>
        <v>0</v>
      </c>
      <c r="G50" s="40">
        <f t="shared" si="0"/>
        <v>0</v>
      </c>
      <c r="H50" s="47">
        <f>+G50*D50</f>
        <v>0</v>
      </c>
      <c r="J50" s="30">
        <v>0</v>
      </c>
      <c r="K50" s="30">
        <v>777</v>
      </c>
      <c r="L50" s="30">
        <v>11655000</v>
      </c>
    </row>
    <row r="51" spans="1:13" hidden="1">
      <c r="A51" s="37">
        <v>30</v>
      </c>
      <c r="B51" s="46" t="s">
        <v>263</v>
      </c>
      <c r="C51" s="37" t="s">
        <v>76</v>
      </c>
      <c r="D51" s="47">
        <v>15000</v>
      </c>
      <c r="E51" s="48"/>
      <c r="F51" s="47">
        <f>E51*D51</f>
        <v>0</v>
      </c>
      <c r="G51" s="40">
        <f t="shared" si="0"/>
        <v>0</v>
      </c>
      <c r="H51" s="47">
        <f>D51*G51</f>
        <v>0</v>
      </c>
      <c r="J51" s="30">
        <v>0</v>
      </c>
      <c r="K51" s="30">
        <v>812</v>
      </c>
      <c r="L51" s="30">
        <v>12180000</v>
      </c>
    </row>
    <row r="52" spans="1:13" hidden="1">
      <c r="A52" s="37"/>
      <c r="B52" s="46" t="s">
        <v>186</v>
      </c>
      <c r="C52" s="37" t="s">
        <v>76</v>
      </c>
      <c r="D52" s="47">
        <v>300000</v>
      </c>
      <c r="E52" s="48"/>
      <c r="F52" s="47">
        <f t="shared" ref="F52:F53" si="5">E52*D52</f>
        <v>0</v>
      </c>
      <c r="G52" s="40">
        <f t="shared" si="0"/>
        <v>0</v>
      </c>
      <c r="H52" s="47">
        <f t="shared" ref="H52:H53" si="6">D52*G52</f>
        <v>0</v>
      </c>
    </row>
    <row r="53" spans="1:13" hidden="1">
      <c r="A53" s="37"/>
      <c r="B53" s="46" t="s">
        <v>264</v>
      </c>
      <c r="C53" s="37" t="s">
        <v>76</v>
      </c>
      <c r="D53" s="47">
        <v>700000</v>
      </c>
      <c r="E53" s="48"/>
      <c r="F53" s="47">
        <f t="shared" si="5"/>
        <v>0</v>
      </c>
      <c r="G53" s="40">
        <f t="shared" si="0"/>
        <v>0</v>
      </c>
      <c r="H53" s="47">
        <f t="shared" si="6"/>
        <v>0</v>
      </c>
    </row>
    <row r="54" spans="1:13" hidden="1">
      <c r="A54" s="41" t="s">
        <v>31</v>
      </c>
      <c r="B54" s="42" t="s">
        <v>59</v>
      </c>
      <c r="C54" s="41"/>
      <c r="D54" s="43"/>
      <c r="E54" s="44"/>
      <c r="F54" s="43">
        <f>SUM(F50:F53)</f>
        <v>0</v>
      </c>
      <c r="G54" s="44"/>
      <c r="H54" s="43">
        <f>SUM(H50:H51)</f>
        <v>0</v>
      </c>
      <c r="J54" s="30">
        <v>0</v>
      </c>
      <c r="L54" s="30">
        <v>23835000</v>
      </c>
    </row>
    <row r="55" spans="1:13" hidden="1">
      <c r="A55" s="41" t="s">
        <v>32</v>
      </c>
      <c r="B55" s="42" t="s">
        <v>104</v>
      </c>
      <c r="C55" s="41"/>
      <c r="D55" s="43"/>
      <c r="E55" s="44"/>
      <c r="F55" s="43">
        <f>+F49+F31+F25+F54</f>
        <v>0</v>
      </c>
      <c r="G55" s="44"/>
      <c r="H55" s="43">
        <f>+H49+H31+H25+H54</f>
        <v>0</v>
      </c>
      <c r="J55" s="30">
        <v>711000</v>
      </c>
      <c r="L55" s="30">
        <v>97139650</v>
      </c>
      <c r="M55" s="66">
        <f>+F55+L55</f>
        <v>97139650</v>
      </c>
    </row>
    <row r="56" spans="1:13" hidden="1">
      <c r="A56" s="37">
        <v>31</v>
      </c>
      <c r="B56" s="38" t="s">
        <v>20</v>
      </c>
      <c r="C56" s="37" t="s">
        <v>73</v>
      </c>
      <c r="D56" s="40">
        <v>50000</v>
      </c>
      <c r="E56" s="40"/>
      <c r="F56" s="39">
        <f>+E56*D56</f>
        <v>0</v>
      </c>
      <c r="G56" s="40">
        <f t="shared" ref="G56:G70" si="7">+E56</f>
        <v>0</v>
      </c>
      <c r="H56" s="39">
        <f>+G56*D56</f>
        <v>0</v>
      </c>
      <c r="J56" s="30">
        <v>0</v>
      </c>
      <c r="K56" s="30">
        <v>30</v>
      </c>
      <c r="L56" s="30">
        <v>1500000</v>
      </c>
    </row>
    <row r="57" spans="1:13" hidden="1">
      <c r="A57" s="37">
        <v>32</v>
      </c>
      <c r="B57" s="38" t="s">
        <v>21</v>
      </c>
      <c r="C57" s="37" t="s">
        <v>73</v>
      </c>
      <c r="D57" s="40">
        <v>35000</v>
      </c>
      <c r="E57" s="40"/>
      <c r="F57" s="39">
        <f>+E57*D57</f>
        <v>0</v>
      </c>
      <c r="G57" s="40">
        <f t="shared" si="7"/>
        <v>0</v>
      </c>
      <c r="H57" s="39">
        <f>+G57*D57</f>
        <v>0</v>
      </c>
      <c r="I57" s="30">
        <v>30</v>
      </c>
      <c r="J57" s="30">
        <v>1050000</v>
      </c>
      <c r="K57" s="30">
        <v>30</v>
      </c>
      <c r="L57" s="30">
        <v>1050000</v>
      </c>
    </row>
    <row r="58" spans="1:13">
      <c r="A58" s="37">
        <v>2</v>
      </c>
      <c r="B58" s="49" t="s">
        <v>6</v>
      </c>
      <c r="C58" s="37" t="s">
        <v>72</v>
      </c>
      <c r="D58" s="39">
        <v>54800</v>
      </c>
      <c r="E58" s="40">
        <v>138</v>
      </c>
      <c r="F58" s="39">
        <f>+E58*D58</f>
        <v>7562400</v>
      </c>
      <c r="G58" s="40">
        <v>270</v>
      </c>
      <c r="H58" s="39">
        <f>+G58*D58</f>
        <v>14796000</v>
      </c>
      <c r="I58" s="30">
        <v>130</v>
      </c>
      <c r="J58" s="30">
        <v>2210000</v>
      </c>
      <c r="K58" s="30">
        <v>2326</v>
      </c>
      <c r="L58" s="30">
        <v>39542000</v>
      </c>
    </row>
    <row r="59" spans="1:13" hidden="1">
      <c r="A59" s="37">
        <v>34</v>
      </c>
      <c r="B59" s="38" t="s">
        <v>100</v>
      </c>
      <c r="C59" s="37" t="s">
        <v>72</v>
      </c>
      <c r="D59" s="39">
        <v>17000</v>
      </c>
      <c r="E59" s="40"/>
      <c r="F59" s="39">
        <f>+E59*D59</f>
        <v>0</v>
      </c>
      <c r="G59" s="40">
        <f t="shared" si="7"/>
        <v>0</v>
      </c>
      <c r="H59" s="39">
        <f>+G59*D59</f>
        <v>0</v>
      </c>
      <c r="I59" s="30">
        <v>117</v>
      </c>
      <c r="J59" s="30">
        <v>6411600</v>
      </c>
      <c r="K59" s="30">
        <v>1028</v>
      </c>
      <c r="L59" s="30">
        <v>56334400</v>
      </c>
    </row>
    <row r="60" spans="1:13">
      <c r="A60" s="41" t="s">
        <v>27</v>
      </c>
      <c r="B60" s="42" t="s">
        <v>0</v>
      </c>
      <c r="C60" s="50"/>
      <c r="D60" s="43"/>
      <c r="E60" s="44"/>
      <c r="F60" s="43">
        <f>SUM(F56:F59)</f>
        <v>7562400</v>
      </c>
      <c r="G60" s="44"/>
      <c r="H60" s="43">
        <f>SUM(H56:H59)</f>
        <v>14796000</v>
      </c>
      <c r="J60" s="30">
        <v>9671600</v>
      </c>
      <c r="L60" s="30">
        <v>98426400</v>
      </c>
      <c r="M60" s="66">
        <f>+F60+L60</f>
        <v>105988800</v>
      </c>
    </row>
    <row r="61" spans="1:13" hidden="1">
      <c r="A61" s="37">
        <v>35</v>
      </c>
      <c r="B61" s="38" t="s">
        <v>98</v>
      </c>
      <c r="C61" s="37" t="s">
        <v>96</v>
      </c>
      <c r="D61" s="39">
        <v>500</v>
      </c>
      <c r="E61" s="39"/>
      <c r="F61" s="39">
        <f>D61*E61</f>
        <v>0</v>
      </c>
      <c r="G61" s="40">
        <f t="shared" si="7"/>
        <v>0</v>
      </c>
      <c r="H61" s="39">
        <f t="shared" ref="H61:H66" si="8">+G61*D61</f>
        <v>0</v>
      </c>
      <c r="I61" s="30">
        <v>3191</v>
      </c>
      <c r="J61" s="30">
        <v>1595500</v>
      </c>
      <c r="K61" s="30">
        <v>10629</v>
      </c>
      <c r="L61" s="30">
        <v>5314500</v>
      </c>
    </row>
    <row r="62" spans="1:13" hidden="1">
      <c r="A62" s="37">
        <v>36</v>
      </c>
      <c r="B62" s="46" t="s">
        <v>97</v>
      </c>
      <c r="C62" s="37" t="s">
        <v>96</v>
      </c>
      <c r="D62" s="39">
        <v>500</v>
      </c>
      <c r="E62" s="40"/>
      <c r="F62" s="39">
        <f>+E62*D62</f>
        <v>0</v>
      </c>
      <c r="G62" s="40">
        <f t="shared" si="7"/>
        <v>0</v>
      </c>
      <c r="H62" s="39">
        <f t="shared" si="8"/>
        <v>0</v>
      </c>
      <c r="I62" s="30">
        <v>995</v>
      </c>
      <c r="J62" s="30">
        <v>497500</v>
      </c>
      <c r="K62" s="30">
        <v>3305</v>
      </c>
      <c r="L62" s="30">
        <v>1652500</v>
      </c>
    </row>
    <row r="63" spans="1:13" hidden="1">
      <c r="A63" s="37">
        <v>37</v>
      </c>
      <c r="B63" s="46" t="s">
        <v>95</v>
      </c>
      <c r="C63" s="37" t="s">
        <v>96</v>
      </c>
      <c r="D63" s="39">
        <v>500</v>
      </c>
      <c r="E63" s="40"/>
      <c r="F63" s="39">
        <f>+E63*D63</f>
        <v>0</v>
      </c>
      <c r="G63" s="40">
        <f t="shared" si="7"/>
        <v>0</v>
      </c>
      <c r="H63" s="39">
        <f t="shared" si="8"/>
        <v>0</v>
      </c>
      <c r="J63" s="30">
        <v>0</v>
      </c>
      <c r="K63" s="30">
        <v>11723</v>
      </c>
      <c r="L63" s="30">
        <v>5861500</v>
      </c>
    </row>
    <row r="64" spans="1:13" hidden="1">
      <c r="A64" s="37">
        <v>38</v>
      </c>
      <c r="B64" s="46" t="s">
        <v>94</v>
      </c>
      <c r="C64" s="37" t="s">
        <v>96</v>
      </c>
      <c r="D64" s="39">
        <v>500</v>
      </c>
      <c r="E64" s="40"/>
      <c r="F64" s="39">
        <f>+E64*D64</f>
        <v>0</v>
      </c>
      <c r="G64" s="40">
        <f t="shared" si="7"/>
        <v>0</v>
      </c>
      <c r="H64" s="39">
        <f t="shared" si="8"/>
        <v>0</v>
      </c>
      <c r="I64" s="30">
        <v>5455</v>
      </c>
      <c r="J64" s="30">
        <v>2727500</v>
      </c>
      <c r="K64" s="30">
        <v>17764</v>
      </c>
      <c r="L64" s="30">
        <v>8882000</v>
      </c>
    </row>
    <row r="65" spans="1:13" hidden="1">
      <c r="A65" s="37">
        <v>39</v>
      </c>
      <c r="B65" s="38" t="s">
        <v>128</v>
      </c>
      <c r="C65" s="37" t="s">
        <v>76</v>
      </c>
      <c r="D65" s="39">
        <v>600</v>
      </c>
      <c r="E65" s="40"/>
      <c r="F65" s="39">
        <f>+E65*D65</f>
        <v>0</v>
      </c>
      <c r="G65" s="40">
        <f t="shared" si="7"/>
        <v>0</v>
      </c>
      <c r="H65" s="39">
        <f t="shared" si="8"/>
        <v>0</v>
      </c>
      <c r="I65" s="30">
        <v>1752</v>
      </c>
      <c r="J65" s="30">
        <v>1051200</v>
      </c>
      <c r="K65" s="30">
        <v>4750</v>
      </c>
      <c r="L65" s="30">
        <v>2850000</v>
      </c>
    </row>
    <row r="66" spans="1:13" hidden="1">
      <c r="A66" s="37">
        <v>40</v>
      </c>
      <c r="B66" s="38" t="s">
        <v>127</v>
      </c>
      <c r="C66" s="37" t="s">
        <v>76</v>
      </c>
      <c r="D66" s="39">
        <v>600</v>
      </c>
      <c r="E66" s="40"/>
      <c r="F66" s="39">
        <f>+E66*D66</f>
        <v>0</v>
      </c>
      <c r="G66" s="40">
        <f t="shared" si="7"/>
        <v>0</v>
      </c>
      <c r="H66" s="39">
        <f t="shared" si="8"/>
        <v>0</v>
      </c>
      <c r="I66" s="30">
        <v>133</v>
      </c>
      <c r="J66" s="30">
        <v>79800</v>
      </c>
      <c r="K66" s="30">
        <v>874</v>
      </c>
      <c r="L66" s="30">
        <v>524400</v>
      </c>
    </row>
    <row r="67" spans="1:13" hidden="1">
      <c r="A67" s="41" t="s">
        <v>34</v>
      </c>
      <c r="B67" s="42" t="s">
        <v>60</v>
      </c>
      <c r="C67" s="41"/>
      <c r="D67" s="43"/>
      <c r="E67" s="44"/>
      <c r="F67" s="43">
        <f>SUM(F61:F66)</f>
        <v>0</v>
      </c>
      <c r="G67" s="44"/>
      <c r="H67" s="43">
        <f>SUM(H61:H66)</f>
        <v>0</v>
      </c>
      <c r="J67" s="30">
        <v>5951500</v>
      </c>
      <c r="L67" s="30">
        <v>25084900</v>
      </c>
      <c r="M67" s="66">
        <f>+F67+L67</f>
        <v>25084900</v>
      </c>
    </row>
    <row r="68" spans="1:13" hidden="1">
      <c r="A68" s="51">
        <v>41</v>
      </c>
      <c r="B68" s="52" t="s">
        <v>119</v>
      </c>
      <c r="C68" s="51" t="s">
        <v>122</v>
      </c>
      <c r="D68" s="53">
        <v>97500</v>
      </c>
      <c r="E68" s="54"/>
      <c r="F68" s="53">
        <f>+E68*D68</f>
        <v>0</v>
      </c>
      <c r="G68" s="40">
        <f t="shared" si="7"/>
        <v>0</v>
      </c>
      <c r="H68" s="53">
        <f>+G68*D68</f>
        <v>0</v>
      </c>
      <c r="J68" s="30">
        <v>0</v>
      </c>
      <c r="K68" s="30">
        <v>1</v>
      </c>
      <c r="L68" s="30">
        <v>97500</v>
      </c>
    </row>
    <row r="69" spans="1:13" hidden="1">
      <c r="A69" s="51">
        <v>42</v>
      </c>
      <c r="B69" s="52" t="s">
        <v>120</v>
      </c>
      <c r="C69" s="51" t="s">
        <v>122</v>
      </c>
      <c r="D69" s="53">
        <v>182100</v>
      </c>
      <c r="E69" s="54"/>
      <c r="F69" s="53">
        <f t="shared" ref="F69:F70" si="9">+E69*D69</f>
        <v>0</v>
      </c>
      <c r="G69" s="40">
        <f t="shared" si="7"/>
        <v>0</v>
      </c>
      <c r="H69" s="53">
        <f t="shared" ref="H69:H70" si="10">+G69*D69</f>
        <v>0</v>
      </c>
      <c r="J69" s="30">
        <v>0</v>
      </c>
      <c r="K69" s="30">
        <v>1</v>
      </c>
      <c r="L69" s="30">
        <v>182100</v>
      </c>
    </row>
    <row r="70" spans="1:13" hidden="1">
      <c r="A70" s="51">
        <v>43</v>
      </c>
      <c r="B70" s="52" t="s">
        <v>121</v>
      </c>
      <c r="C70" s="51" t="s">
        <v>122</v>
      </c>
      <c r="D70" s="53">
        <v>137500</v>
      </c>
      <c r="E70" s="54"/>
      <c r="F70" s="53">
        <f t="shared" si="9"/>
        <v>0</v>
      </c>
      <c r="G70" s="40">
        <f t="shared" si="7"/>
        <v>0</v>
      </c>
      <c r="H70" s="53">
        <f t="shared" si="10"/>
        <v>0</v>
      </c>
      <c r="J70" s="30">
        <v>0</v>
      </c>
      <c r="K70" s="30">
        <v>1</v>
      </c>
      <c r="L70" s="30">
        <v>137500</v>
      </c>
    </row>
    <row r="71" spans="1:13" hidden="1">
      <c r="A71" s="41" t="s">
        <v>28</v>
      </c>
      <c r="B71" s="42" t="s">
        <v>0</v>
      </c>
      <c r="C71" s="41"/>
      <c r="D71" s="43"/>
      <c r="E71" s="44"/>
      <c r="F71" s="55">
        <f>SUM(F68:F70)</f>
        <v>0</v>
      </c>
      <c r="G71" s="44"/>
      <c r="H71" s="55">
        <f>SUM(H68:H70)</f>
        <v>0</v>
      </c>
      <c r="J71" s="30">
        <v>0</v>
      </c>
      <c r="L71" s="30">
        <v>417100</v>
      </c>
    </row>
    <row r="72" spans="1:13">
      <c r="A72" s="41" t="s">
        <v>29</v>
      </c>
      <c r="B72" s="42" t="s">
        <v>123</v>
      </c>
      <c r="C72" s="41"/>
      <c r="D72" s="43"/>
      <c r="E72" s="44"/>
      <c r="F72" s="43">
        <f>SUM(F17+F55+F60+F67+F71)</f>
        <v>7562400</v>
      </c>
      <c r="G72" s="44"/>
      <c r="H72" s="43">
        <f>SUM(H17+H55+H60+H67+H71)</f>
        <v>16140000</v>
      </c>
      <c r="J72" s="30">
        <v>16334100</v>
      </c>
      <c r="L72" s="30">
        <v>223882050</v>
      </c>
      <c r="M72" s="66">
        <f>+L72+F72</f>
        <v>231444450</v>
      </c>
    </row>
    <row r="73" spans="1:13" hidden="1">
      <c r="A73" s="37">
        <f>+A70+1</f>
        <v>44</v>
      </c>
      <c r="B73" s="30" t="s">
        <v>206</v>
      </c>
      <c r="C73" s="37" t="s">
        <v>77</v>
      </c>
      <c r="D73" s="39">
        <v>23200</v>
      </c>
      <c r="E73" s="40"/>
      <c r="F73" s="53">
        <f t="shared" ref="F73:F108" si="11">+E73*D73</f>
        <v>0</v>
      </c>
      <c r="G73" s="40">
        <f t="shared" ref="G73:G108" si="12">+E73</f>
        <v>0</v>
      </c>
      <c r="H73" s="40">
        <f>+G73*D73</f>
        <v>0</v>
      </c>
      <c r="J73" s="30">
        <v>0</v>
      </c>
      <c r="K73" s="30">
        <v>155</v>
      </c>
      <c r="L73" s="30">
        <v>1831790</v>
      </c>
    </row>
    <row r="74" spans="1:13" hidden="1">
      <c r="A74" s="37"/>
      <c r="B74" s="46" t="s">
        <v>109</v>
      </c>
      <c r="C74" s="37" t="s">
        <v>77</v>
      </c>
      <c r="D74" s="39">
        <v>11818</v>
      </c>
      <c r="E74" s="40"/>
      <c r="F74" s="53">
        <f t="shared" si="11"/>
        <v>0</v>
      </c>
      <c r="G74" s="40">
        <f t="shared" si="12"/>
        <v>0</v>
      </c>
      <c r="H74" s="40">
        <f t="shared" ref="H74:H108" si="13">+G74*D74</f>
        <v>0</v>
      </c>
    </row>
    <row r="75" spans="1:13" hidden="1">
      <c r="A75" s="37"/>
      <c r="B75" s="46" t="s">
        <v>208</v>
      </c>
      <c r="C75" s="37" t="s">
        <v>77</v>
      </c>
      <c r="D75" s="39">
        <v>30000</v>
      </c>
      <c r="E75" s="40"/>
      <c r="F75" s="53">
        <f t="shared" si="11"/>
        <v>0</v>
      </c>
      <c r="G75" s="40">
        <f t="shared" si="12"/>
        <v>0</v>
      </c>
      <c r="H75" s="40">
        <f t="shared" si="13"/>
        <v>0</v>
      </c>
    </row>
    <row r="76" spans="1:13" hidden="1">
      <c r="A76" s="37"/>
      <c r="B76" s="46" t="s">
        <v>266</v>
      </c>
      <c r="C76" s="37" t="s">
        <v>77</v>
      </c>
      <c r="D76" s="39">
        <v>50000</v>
      </c>
      <c r="E76" s="40"/>
      <c r="F76" s="53">
        <f t="shared" si="11"/>
        <v>0</v>
      </c>
      <c r="G76" s="40">
        <f t="shared" si="12"/>
        <v>0</v>
      </c>
      <c r="H76" s="40">
        <f t="shared" si="13"/>
        <v>0</v>
      </c>
    </row>
    <row r="77" spans="1:13" hidden="1">
      <c r="A77" s="37">
        <f>+A73+1</f>
        <v>45</v>
      </c>
      <c r="B77" s="38" t="s">
        <v>63</v>
      </c>
      <c r="C77" s="37" t="s">
        <v>77</v>
      </c>
      <c r="D77" s="39">
        <v>16000</v>
      </c>
      <c r="E77" s="40"/>
      <c r="F77" s="53">
        <f t="shared" si="11"/>
        <v>0</v>
      </c>
      <c r="G77" s="40">
        <f t="shared" si="12"/>
        <v>0</v>
      </c>
      <c r="H77" s="40">
        <f t="shared" si="13"/>
        <v>0</v>
      </c>
      <c r="I77" s="30">
        <v>70</v>
      </c>
      <c r="J77" s="30">
        <v>1120000</v>
      </c>
      <c r="K77" s="30">
        <v>70</v>
      </c>
      <c r="L77" s="30">
        <v>1120000</v>
      </c>
    </row>
    <row r="78" spans="1:13" hidden="1">
      <c r="A78" s="37">
        <f t="shared" ref="A78:A79" si="14">+A77+1</f>
        <v>46</v>
      </c>
      <c r="B78" s="56" t="s">
        <v>106</v>
      </c>
      <c r="C78" s="31" t="s">
        <v>77</v>
      </c>
      <c r="D78" s="39">
        <v>9600</v>
      </c>
      <c r="E78" s="40"/>
      <c r="F78" s="53">
        <f t="shared" si="11"/>
        <v>0</v>
      </c>
      <c r="G78" s="40">
        <f t="shared" si="12"/>
        <v>0</v>
      </c>
      <c r="H78" s="40">
        <f t="shared" si="13"/>
        <v>0</v>
      </c>
      <c r="I78" s="30">
        <v>70</v>
      </c>
      <c r="J78" s="30">
        <v>672000</v>
      </c>
      <c r="K78" s="30">
        <v>70</v>
      </c>
      <c r="L78" s="30">
        <v>672000</v>
      </c>
    </row>
    <row r="79" spans="1:13" hidden="1">
      <c r="A79" s="37">
        <f t="shared" si="14"/>
        <v>47</v>
      </c>
      <c r="B79" s="38" t="s">
        <v>22</v>
      </c>
      <c r="C79" s="37" t="s">
        <v>77</v>
      </c>
      <c r="D79" s="39">
        <v>10400</v>
      </c>
      <c r="E79" s="40"/>
      <c r="F79" s="53">
        <f t="shared" si="11"/>
        <v>0</v>
      </c>
      <c r="G79" s="40">
        <f t="shared" si="12"/>
        <v>0</v>
      </c>
      <c r="H79" s="40">
        <f t="shared" si="13"/>
        <v>0</v>
      </c>
      <c r="I79" s="30">
        <v>20</v>
      </c>
      <c r="J79" s="30">
        <v>208000</v>
      </c>
      <c r="K79" s="30">
        <v>20</v>
      </c>
      <c r="L79" s="30">
        <v>208000</v>
      </c>
    </row>
    <row r="80" spans="1:13" hidden="1">
      <c r="A80" s="37"/>
      <c r="B80" s="38" t="s">
        <v>142</v>
      </c>
      <c r="C80" s="37" t="s">
        <v>77</v>
      </c>
      <c r="D80" s="39">
        <v>21600</v>
      </c>
      <c r="E80" s="40"/>
      <c r="F80" s="53">
        <f t="shared" si="11"/>
        <v>0</v>
      </c>
      <c r="G80" s="40">
        <f t="shared" si="12"/>
        <v>0</v>
      </c>
      <c r="H80" s="40">
        <f t="shared" si="13"/>
        <v>0</v>
      </c>
      <c r="J80" s="30">
        <v>0</v>
      </c>
      <c r="L80" s="30">
        <v>0</v>
      </c>
    </row>
    <row r="81" spans="1:12" hidden="1">
      <c r="A81" s="37"/>
      <c r="B81" s="38" t="s">
        <v>136</v>
      </c>
      <c r="C81" s="37" t="s">
        <v>77</v>
      </c>
      <c r="D81" s="39">
        <v>10400</v>
      </c>
      <c r="E81" s="40"/>
      <c r="F81" s="53">
        <f t="shared" si="11"/>
        <v>0</v>
      </c>
      <c r="G81" s="40">
        <f t="shared" si="12"/>
        <v>0</v>
      </c>
      <c r="H81" s="40">
        <f t="shared" si="13"/>
        <v>0</v>
      </c>
      <c r="J81" s="30">
        <v>0</v>
      </c>
      <c r="L81" s="30">
        <v>0</v>
      </c>
    </row>
    <row r="82" spans="1:12" hidden="1">
      <c r="A82" s="37">
        <v>45</v>
      </c>
      <c r="B82" s="38" t="s">
        <v>110</v>
      </c>
      <c r="C82" s="37" t="s">
        <v>77</v>
      </c>
      <c r="D82" s="39">
        <v>21540</v>
      </c>
      <c r="E82" s="40"/>
      <c r="F82" s="53">
        <f t="shared" si="11"/>
        <v>0</v>
      </c>
      <c r="G82" s="40">
        <f t="shared" si="12"/>
        <v>0</v>
      </c>
      <c r="H82" s="40">
        <f t="shared" si="13"/>
        <v>0</v>
      </c>
      <c r="I82" s="30">
        <v>78</v>
      </c>
      <c r="J82" s="30">
        <v>1680120</v>
      </c>
      <c r="K82" s="30">
        <v>261</v>
      </c>
      <c r="L82" s="30">
        <v>5621940</v>
      </c>
    </row>
    <row r="83" spans="1:12" hidden="1">
      <c r="A83" s="37">
        <v>46</v>
      </c>
      <c r="B83" s="38" t="s">
        <v>111</v>
      </c>
      <c r="C83" s="37" t="s">
        <v>77</v>
      </c>
      <c r="D83" s="39">
        <v>14910</v>
      </c>
      <c r="E83" s="40"/>
      <c r="F83" s="53">
        <f t="shared" si="11"/>
        <v>0</v>
      </c>
      <c r="G83" s="40">
        <f t="shared" si="12"/>
        <v>0</v>
      </c>
      <c r="H83" s="40">
        <f t="shared" si="13"/>
        <v>0</v>
      </c>
      <c r="I83" s="30">
        <v>100</v>
      </c>
      <c r="J83" s="30">
        <v>1491000</v>
      </c>
      <c r="K83" s="30">
        <v>217</v>
      </c>
      <c r="L83" s="30">
        <v>3235470</v>
      </c>
    </row>
    <row r="84" spans="1:12" hidden="1">
      <c r="A84" s="37"/>
      <c r="B84" s="38" t="s">
        <v>267</v>
      </c>
      <c r="C84" s="37" t="s">
        <v>77</v>
      </c>
      <c r="D84" s="39">
        <v>31500</v>
      </c>
      <c r="E84" s="40"/>
      <c r="F84" s="53">
        <f t="shared" si="11"/>
        <v>0</v>
      </c>
      <c r="G84" s="40">
        <f t="shared" si="12"/>
        <v>0</v>
      </c>
      <c r="H84" s="40">
        <f t="shared" si="13"/>
        <v>0</v>
      </c>
    </row>
    <row r="85" spans="1:12" hidden="1">
      <c r="A85" s="37"/>
      <c r="B85" s="38" t="s">
        <v>268</v>
      </c>
      <c r="C85" s="37" t="s">
        <v>77</v>
      </c>
      <c r="D85" s="39">
        <v>23600</v>
      </c>
      <c r="E85" s="40"/>
      <c r="F85" s="53">
        <f t="shared" si="11"/>
        <v>0</v>
      </c>
      <c r="G85" s="40">
        <f t="shared" si="12"/>
        <v>0</v>
      </c>
      <c r="H85" s="40">
        <f t="shared" si="13"/>
        <v>0</v>
      </c>
    </row>
    <row r="86" spans="1:12" hidden="1">
      <c r="A86" s="37"/>
      <c r="B86" s="38" t="s">
        <v>219</v>
      </c>
      <c r="C86" s="37" t="s">
        <v>77</v>
      </c>
      <c r="D86" s="39">
        <v>27676</v>
      </c>
      <c r="E86" s="40"/>
      <c r="F86" s="53">
        <f t="shared" si="11"/>
        <v>0</v>
      </c>
      <c r="G86" s="40">
        <f t="shared" si="12"/>
        <v>0</v>
      </c>
      <c r="H86" s="40">
        <f t="shared" si="13"/>
        <v>0</v>
      </c>
    </row>
    <row r="87" spans="1:12" hidden="1">
      <c r="A87" s="37"/>
      <c r="B87" s="38" t="s">
        <v>221</v>
      </c>
      <c r="C87" s="37" t="s">
        <v>77</v>
      </c>
      <c r="D87" s="39">
        <v>18400</v>
      </c>
      <c r="E87" s="40"/>
      <c r="F87" s="53">
        <f t="shared" si="11"/>
        <v>0</v>
      </c>
      <c r="G87" s="40">
        <f t="shared" si="12"/>
        <v>0</v>
      </c>
      <c r="H87" s="40">
        <f t="shared" si="13"/>
        <v>0</v>
      </c>
    </row>
    <row r="88" spans="1:12" hidden="1">
      <c r="A88" s="37">
        <v>3</v>
      </c>
      <c r="B88" s="38" t="s">
        <v>114</v>
      </c>
      <c r="C88" s="37" t="s">
        <v>77</v>
      </c>
      <c r="D88" s="39">
        <v>14400</v>
      </c>
      <c r="E88" s="40"/>
      <c r="F88" s="53">
        <f t="shared" si="11"/>
        <v>0</v>
      </c>
      <c r="G88" s="40">
        <f t="shared" si="12"/>
        <v>0</v>
      </c>
      <c r="H88" s="40">
        <f t="shared" si="13"/>
        <v>0</v>
      </c>
      <c r="J88" s="30">
        <v>0</v>
      </c>
      <c r="K88" s="30">
        <v>78</v>
      </c>
      <c r="L88" s="30">
        <v>1123200</v>
      </c>
    </row>
    <row r="89" spans="1:12" hidden="1">
      <c r="A89" s="37"/>
      <c r="B89" s="38" t="s">
        <v>269</v>
      </c>
      <c r="C89" s="37" t="s">
        <v>77</v>
      </c>
      <c r="D89" s="39">
        <v>8000</v>
      </c>
      <c r="E89" s="40"/>
      <c r="F89" s="53">
        <f t="shared" si="11"/>
        <v>0</v>
      </c>
      <c r="G89" s="40">
        <f t="shared" si="12"/>
        <v>0</v>
      </c>
      <c r="H89" s="40">
        <f t="shared" si="13"/>
        <v>0</v>
      </c>
    </row>
    <row r="90" spans="1:12" hidden="1">
      <c r="A90" s="37"/>
      <c r="B90" s="38" t="s">
        <v>270</v>
      </c>
      <c r="C90" s="37" t="s">
        <v>77</v>
      </c>
      <c r="D90" s="39">
        <v>8000</v>
      </c>
      <c r="E90" s="40"/>
      <c r="F90" s="53">
        <f t="shared" si="11"/>
        <v>0</v>
      </c>
      <c r="G90" s="40">
        <f t="shared" si="12"/>
        <v>0</v>
      </c>
      <c r="H90" s="40">
        <f t="shared" si="13"/>
        <v>0</v>
      </c>
    </row>
    <row r="91" spans="1:12" hidden="1">
      <c r="A91" s="37"/>
      <c r="B91" s="38" t="s">
        <v>226</v>
      </c>
      <c r="C91" s="37" t="s">
        <v>77</v>
      </c>
      <c r="D91" s="39">
        <v>8000</v>
      </c>
      <c r="E91" s="40"/>
      <c r="F91" s="53">
        <f t="shared" si="11"/>
        <v>0</v>
      </c>
      <c r="G91" s="40">
        <f t="shared" si="12"/>
        <v>0</v>
      </c>
      <c r="H91" s="40">
        <f t="shared" si="13"/>
        <v>0</v>
      </c>
    </row>
    <row r="92" spans="1:12" hidden="1">
      <c r="A92" s="37"/>
      <c r="B92" s="38" t="s">
        <v>227</v>
      </c>
      <c r="C92" s="37" t="s">
        <v>77</v>
      </c>
      <c r="D92" s="39">
        <v>8000</v>
      </c>
      <c r="E92" s="40"/>
      <c r="F92" s="53">
        <f t="shared" si="11"/>
        <v>0</v>
      </c>
      <c r="G92" s="40">
        <f t="shared" si="12"/>
        <v>0</v>
      </c>
      <c r="H92" s="40">
        <f t="shared" si="13"/>
        <v>0</v>
      </c>
    </row>
    <row r="93" spans="1:12" hidden="1">
      <c r="A93" s="37"/>
      <c r="B93" s="38" t="s">
        <v>228</v>
      </c>
      <c r="C93" s="37" t="s">
        <v>77</v>
      </c>
      <c r="D93" s="39">
        <v>18400</v>
      </c>
      <c r="E93" s="40"/>
      <c r="F93" s="53">
        <f t="shared" si="11"/>
        <v>0</v>
      </c>
      <c r="G93" s="40">
        <f t="shared" si="12"/>
        <v>0</v>
      </c>
      <c r="H93" s="40">
        <f t="shared" si="13"/>
        <v>0</v>
      </c>
    </row>
    <row r="94" spans="1:12" hidden="1">
      <c r="A94" s="37"/>
      <c r="B94" s="38" t="s">
        <v>271</v>
      </c>
      <c r="C94" s="37" t="s">
        <v>77</v>
      </c>
      <c r="D94" s="39">
        <v>8000</v>
      </c>
      <c r="E94" s="40"/>
      <c r="F94" s="53">
        <f t="shared" si="11"/>
        <v>0</v>
      </c>
      <c r="G94" s="40">
        <f t="shared" si="12"/>
        <v>0</v>
      </c>
      <c r="H94" s="40">
        <f t="shared" si="13"/>
        <v>0</v>
      </c>
    </row>
    <row r="95" spans="1:12" hidden="1">
      <c r="A95" s="37"/>
      <c r="B95" s="38" t="s">
        <v>272</v>
      </c>
      <c r="C95" s="37" t="s">
        <v>77</v>
      </c>
      <c r="D95" s="39">
        <v>16000</v>
      </c>
      <c r="E95" s="40"/>
      <c r="F95" s="53">
        <f t="shared" si="11"/>
        <v>0</v>
      </c>
      <c r="G95" s="40">
        <f t="shared" si="12"/>
        <v>0</v>
      </c>
      <c r="H95" s="40">
        <f t="shared" si="13"/>
        <v>0</v>
      </c>
    </row>
    <row r="96" spans="1:12" ht="12.75" hidden="1" customHeight="1">
      <c r="A96" s="37"/>
      <c r="B96" s="38" t="s">
        <v>143</v>
      </c>
      <c r="C96" s="37" t="s">
        <v>77</v>
      </c>
      <c r="D96" s="39">
        <v>6400</v>
      </c>
      <c r="E96" s="40"/>
      <c r="F96" s="53">
        <f t="shared" si="11"/>
        <v>0</v>
      </c>
      <c r="G96" s="40">
        <f t="shared" si="12"/>
        <v>0</v>
      </c>
      <c r="H96" s="40">
        <f t="shared" si="13"/>
        <v>0</v>
      </c>
      <c r="J96" s="30">
        <v>0</v>
      </c>
    </row>
    <row r="97" spans="1:13" ht="12.75" hidden="1" customHeight="1">
      <c r="A97" s="37"/>
      <c r="B97" s="38" t="s">
        <v>233</v>
      </c>
      <c r="C97" s="37" t="s">
        <v>77</v>
      </c>
      <c r="D97" s="104">
        <v>31745</v>
      </c>
      <c r="E97" s="40"/>
      <c r="F97" s="53">
        <f t="shared" si="11"/>
        <v>0</v>
      </c>
      <c r="G97" s="40">
        <f t="shared" si="12"/>
        <v>0</v>
      </c>
      <c r="H97" s="40">
        <f t="shared" si="13"/>
        <v>0</v>
      </c>
    </row>
    <row r="98" spans="1:13" ht="12.75" hidden="1" customHeight="1">
      <c r="A98" s="37"/>
      <c r="B98" s="38" t="s">
        <v>144</v>
      </c>
      <c r="C98" s="37" t="s">
        <v>77</v>
      </c>
      <c r="D98" s="68">
        <v>32946</v>
      </c>
      <c r="E98" s="40"/>
      <c r="F98" s="53">
        <f t="shared" si="11"/>
        <v>0</v>
      </c>
      <c r="G98" s="40">
        <f t="shared" si="12"/>
        <v>0</v>
      </c>
      <c r="H98" s="40">
        <f t="shared" si="13"/>
        <v>0</v>
      </c>
      <c r="J98" s="30">
        <v>0</v>
      </c>
    </row>
    <row r="99" spans="1:13" ht="12.75" hidden="1" customHeight="1">
      <c r="A99" s="37"/>
      <c r="B99" s="38" t="s">
        <v>145</v>
      </c>
      <c r="C99" s="37" t="s">
        <v>77</v>
      </c>
      <c r="D99" s="68">
        <v>246228</v>
      </c>
      <c r="E99" s="40"/>
      <c r="F99" s="53">
        <f t="shared" si="11"/>
        <v>0</v>
      </c>
      <c r="G99" s="40">
        <f t="shared" si="12"/>
        <v>0</v>
      </c>
      <c r="H99" s="40">
        <f t="shared" si="13"/>
        <v>0</v>
      </c>
      <c r="J99" s="30">
        <v>0</v>
      </c>
    </row>
    <row r="100" spans="1:13" ht="12.75" hidden="1" customHeight="1">
      <c r="A100" s="37"/>
      <c r="B100" s="38" t="s">
        <v>146</v>
      </c>
      <c r="C100" s="37" t="s">
        <v>77</v>
      </c>
      <c r="D100" s="68">
        <v>305949</v>
      </c>
      <c r="E100" s="40"/>
      <c r="F100" s="53">
        <f t="shared" si="11"/>
        <v>0</v>
      </c>
      <c r="G100" s="40">
        <f t="shared" si="12"/>
        <v>0</v>
      </c>
      <c r="H100" s="40">
        <f t="shared" si="13"/>
        <v>0</v>
      </c>
      <c r="J100" s="30">
        <v>0</v>
      </c>
    </row>
    <row r="101" spans="1:13" ht="12.75" hidden="1" customHeight="1">
      <c r="A101" s="37"/>
      <c r="B101" s="38" t="s">
        <v>147</v>
      </c>
      <c r="C101" s="37" t="s">
        <v>77</v>
      </c>
      <c r="D101" s="68">
        <v>131478</v>
      </c>
      <c r="E101" s="40"/>
      <c r="F101" s="53">
        <f t="shared" si="11"/>
        <v>0</v>
      </c>
      <c r="G101" s="40">
        <f t="shared" si="12"/>
        <v>0</v>
      </c>
      <c r="H101" s="40">
        <f t="shared" si="13"/>
        <v>0</v>
      </c>
      <c r="J101" s="30">
        <v>0</v>
      </c>
    </row>
    <row r="102" spans="1:13" hidden="1">
      <c r="A102" s="37">
        <f>+A88+1</f>
        <v>4</v>
      </c>
      <c r="B102" s="38" t="s">
        <v>132</v>
      </c>
      <c r="C102" s="37" t="s">
        <v>77</v>
      </c>
      <c r="D102" s="39">
        <v>12000</v>
      </c>
      <c r="E102" s="40"/>
      <c r="F102" s="53">
        <f t="shared" si="11"/>
        <v>0</v>
      </c>
      <c r="G102" s="40">
        <f t="shared" si="12"/>
        <v>0</v>
      </c>
      <c r="H102" s="40">
        <f t="shared" si="13"/>
        <v>0</v>
      </c>
      <c r="I102" s="30">
        <v>78</v>
      </c>
      <c r="J102" s="30">
        <v>468000</v>
      </c>
      <c r="K102" s="30">
        <v>255</v>
      </c>
      <c r="L102" s="30">
        <v>1530000</v>
      </c>
    </row>
    <row r="103" spans="1:13" hidden="1">
      <c r="A103" s="37"/>
      <c r="B103" s="38" t="s">
        <v>112</v>
      </c>
      <c r="C103" s="37" t="s">
        <v>77</v>
      </c>
      <c r="D103" s="39">
        <v>6000</v>
      </c>
      <c r="E103" s="40"/>
      <c r="F103" s="53">
        <f t="shared" si="11"/>
        <v>0</v>
      </c>
      <c r="G103" s="40">
        <f t="shared" si="12"/>
        <v>0</v>
      </c>
      <c r="H103" s="40">
        <f t="shared" si="13"/>
        <v>0</v>
      </c>
    </row>
    <row r="104" spans="1:13" ht="14.25" hidden="1" customHeight="1">
      <c r="A104" s="37" t="e">
        <f>+#REF!+1</f>
        <v>#REF!</v>
      </c>
      <c r="B104" s="38" t="s">
        <v>113</v>
      </c>
      <c r="C104" s="37" t="s">
        <v>77</v>
      </c>
      <c r="D104" s="39">
        <v>4080</v>
      </c>
      <c r="E104" s="40"/>
      <c r="F104" s="53">
        <f t="shared" si="11"/>
        <v>0</v>
      </c>
      <c r="G104" s="40">
        <f t="shared" si="12"/>
        <v>0</v>
      </c>
      <c r="H104" s="40">
        <f t="shared" si="13"/>
        <v>0</v>
      </c>
      <c r="I104" s="30">
        <v>100</v>
      </c>
      <c r="J104" s="30">
        <v>408000</v>
      </c>
      <c r="K104" s="30">
        <v>217</v>
      </c>
      <c r="L104" s="30">
        <v>885360</v>
      </c>
    </row>
    <row r="105" spans="1:13" ht="14.25" hidden="1" customHeight="1">
      <c r="A105" s="37"/>
      <c r="B105" s="38" t="s">
        <v>246</v>
      </c>
      <c r="C105" s="37" t="s">
        <v>77</v>
      </c>
      <c r="D105" s="39">
        <v>2000000</v>
      </c>
      <c r="E105" s="40"/>
      <c r="F105" s="53">
        <f t="shared" si="11"/>
        <v>0</v>
      </c>
      <c r="G105" s="40">
        <f t="shared" si="12"/>
        <v>0</v>
      </c>
      <c r="H105" s="40">
        <f t="shared" si="13"/>
        <v>0</v>
      </c>
    </row>
    <row r="106" spans="1:13" ht="14.25" hidden="1" customHeight="1">
      <c r="A106" s="37" t="e">
        <f>+A104+1</f>
        <v>#REF!</v>
      </c>
      <c r="B106" s="38" t="s">
        <v>139</v>
      </c>
      <c r="C106" s="37" t="s">
        <v>141</v>
      </c>
      <c r="D106" s="39">
        <v>115000</v>
      </c>
      <c r="E106" s="40"/>
      <c r="F106" s="53">
        <f t="shared" si="11"/>
        <v>0</v>
      </c>
      <c r="G106" s="40">
        <f t="shared" si="12"/>
        <v>0</v>
      </c>
      <c r="H106" s="40">
        <f t="shared" si="13"/>
        <v>0</v>
      </c>
      <c r="J106" s="30">
        <v>0</v>
      </c>
      <c r="L106" s="30">
        <v>0</v>
      </c>
    </row>
    <row r="107" spans="1:13" ht="14.25" hidden="1" customHeight="1">
      <c r="A107" s="37"/>
      <c r="B107" s="38" t="s">
        <v>247</v>
      </c>
      <c r="C107" s="37" t="s">
        <v>141</v>
      </c>
      <c r="D107" s="39">
        <v>125000</v>
      </c>
      <c r="E107" s="40"/>
      <c r="F107" s="53">
        <f t="shared" si="11"/>
        <v>0</v>
      </c>
      <c r="G107" s="40">
        <f t="shared" si="12"/>
        <v>0</v>
      </c>
      <c r="H107" s="40">
        <f t="shared" si="13"/>
        <v>0</v>
      </c>
    </row>
    <row r="108" spans="1:13" ht="14.25" hidden="1" customHeight="1">
      <c r="A108" s="37" t="e">
        <f>+A106+1</f>
        <v>#REF!</v>
      </c>
      <c r="B108" s="38" t="s">
        <v>140</v>
      </c>
      <c r="C108" s="37" t="s">
        <v>141</v>
      </c>
      <c r="D108" s="39">
        <v>30000</v>
      </c>
      <c r="E108" s="40"/>
      <c r="F108" s="53">
        <f t="shared" si="11"/>
        <v>0</v>
      </c>
      <c r="G108" s="40">
        <f t="shared" si="12"/>
        <v>0</v>
      </c>
      <c r="H108" s="40">
        <f t="shared" si="13"/>
        <v>0</v>
      </c>
      <c r="J108" s="30">
        <v>0</v>
      </c>
      <c r="L108" s="30">
        <v>0</v>
      </c>
    </row>
    <row r="109" spans="1:13" ht="14.25" customHeight="1">
      <c r="A109" s="41" t="s">
        <v>36</v>
      </c>
      <c r="B109" s="57" t="s">
        <v>61</v>
      </c>
      <c r="C109" s="41"/>
      <c r="D109" s="43"/>
      <c r="E109" s="44"/>
      <c r="F109" s="43">
        <f>SUM(F73:F108)</f>
        <v>0</v>
      </c>
      <c r="G109" s="44"/>
      <c r="H109" s="43">
        <f>SUM(H73:H108)</f>
        <v>0</v>
      </c>
      <c r="J109" s="30">
        <v>6047120</v>
      </c>
      <c r="L109" s="30">
        <v>16299760</v>
      </c>
      <c r="M109" s="66">
        <f>+L109+F109</f>
        <v>16299760</v>
      </c>
    </row>
    <row r="110" spans="1:13">
      <c r="A110" s="37">
        <v>4</v>
      </c>
      <c r="B110" s="38" t="s">
        <v>58</v>
      </c>
      <c r="C110" s="37" t="s">
        <v>251</v>
      </c>
      <c r="D110" s="39"/>
      <c r="E110" s="40"/>
      <c r="F110" s="40"/>
      <c r="G110" s="40"/>
      <c r="H110" s="40">
        <v>150000</v>
      </c>
      <c r="J110" s="30">
        <v>500000</v>
      </c>
      <c r="L110" s="30">
        <v>500000</v>
      </c>
    </row>
    <row r="111" spans="1:13">
      <c r="A111" s="37">
        <v>5</v>
      </c>
      <c r="B111" s="38" t="s">
        <v>23</v>
      </c>
      <c r="C111" s="37" t="s">
        <v>79</v>
      </c>
      <c r="D111" s="39">
        <v>250000</v>
      </c>
      <c r="E111" s="40">
        <v>1</v>
      </c>
      <c r="F111" s="39">
        <f>D111*E111</f>
        <v>250000</v>
      </c>
      <c r="G111" s="40">
        <v>2</v>
      </c>
      <c r="H111" s="39">
        <f>+G111*D111</f>
        <v>500000</v>
      </c>
      <c r="I111" s="30">
        <v>1</v>
      </c>
      <c r="J111" s="30">
        <v>250000</v>
      </c>
      <c r="K111" s="30">
        <v>11</v>
      </c>
      <c r="L111" s="30">
        <v>2750000</v>
      </c>
    </row>
    <row r="112" spans="1:13">
      <c r="A112" s="41" t="s">
        <v>31</v>
      </c>
      <c r="B112" s="42" t="s">
        <v>62</v>
      </c>
      <c r="C112" s="41"/>
      <c r="D112" s="43"/>
      <c r="E112" s="44"/>
      <c r="F112" s="43">
        <f>SUM(F110:F111)</f>
        <v>250000</v>
      </c>
      <c r="G112" s="44"/>
      <c r="H112" s="43">
        <f>SUM(H110:H111)</f>
        <v>650000</v>
      </c>
      <c r="J112" s="30">
        <v>750000</v>
      </c>
      <c r="L112" s="30">
        <v>3250000</v>
      </c>
    </row>
    <row r="113" spans="1:13">
      <c r="A113" s="58" t="s">
        <v>32</v>
      </c>
      <c r="B113" s="59" t="s">
        <v>42</v>
      </c>
      <c r="C113" s="58"/>
      <c r="D113" s="60"/>
      <c r="E113" s="61"/>
      <c r="F113" s="60">
        <f>+F112+F109</f>
        <v>250000</v>
      </c>
      <c r="G113" s="61"/>
      <c r="H113" s="60">
        <f>+H112+H109</f>
        <v>650000</v>
      </c>
      <c r="J113" s="30">
        <v>6797120</v>
      </c>
      <c r="L113" s="30">
        <v>19549760</v>
      </c>
      <c r="M113" s="66">
        <f>+L113+F113</f>
        <v>19799760</v>
      </c>
    </row>
    <row r="114" spans="1:13">
      <c r="A114" s="58" t="s">
        <v>33</v>
      </c>
      <c r="B114" s="59" t="s">
        <v>43</v>
      </c>
      <c r="C114" s="58"/>
      <c r="D114" s="60"/>
      <c r="E114" s="61"/>
      <c r="F114" s="60">
        <f>+F113+F72</f>
        <v>7812400</v>
      </c>
      <c r="G114" s="61"/>
      <c r="H114" s="60">
        <f>+H113+H72</f>
        <v>16790000</v>
      </c>
      <c r="J114" s="30">
        <v>23131220</v>
      </c>
      <c r="L114" s="30">
        <v>243431810</v>
      </c>
      <c r="M114" s="66">
        <f>+F114+L114</f>
        <v>251244210</v>
      </c>
    </row>
    <row r="115" spans="1:13">
      <c r="A115" s="58">
        <v>6</v>
      </c>
      <c r="B115" s="59" t="s">
        <v>24</v>
      </c>
      <c r="C115" s="58"/>
      <c r="D115" s="60"/>
      <c r="E115" s="61"/>
      <c r="F115" s="60">
        <f>+F114/10</f>
        <v>781240</v>
      </c>
      <c r="G115" s="61"/>
      <c r="H115" s="60">
        <f>+H114/100*10</f>
        <v>1679000</v>
      </c>
      <c r="J115" s="30">
        <v>2313122</v>
      </c>
      <c r="L115" s="30">
        <v>24343181</v>
      </c>
      <c r="M115" s="66">
        <f>+L115+F115</f>
        <v>25124421</v>
      </c>
    </row>
    <row r="116" spans="1:13">
      <c r="A116" s="41" t="s">
        <v>34</v>
      </c>
      <c r="B116" s="42" t="s">
        <v>44</v>
      </c>
      <c r="C116" s="41"/>
      <c r="D116" s="43"/>
      <c r="E116" s="44"/>
      <c r="F116" s="43">
        <f>+F114+F115</f>
        <v>8593640</v>
      </c>
      <c r="G116" s="44"/>
      <c r="H116" s="43">
        <f>+H114+H115</f>
        <v>18469000</v>
      </c>
      <c r="J116" s="30">
        <v>25444342</v>
      </c>
      <c r="L116" s="30">
        <v>267774991</v>
      </c>
      <c r="M116" s="66">
        <f>+L116+F116</f>
        <v>276368631</v>
      </c>
    </row>
    <row r="117" spans="1:13">
      <c r="A117" s="62"/>
      <c r="B117" s="63"/>
      <c r="C117" s="62"/>
      <c r="D117" s="64"/>
      <c r="E117" s="65"/>
      <c r="F117" s="64"/>
      <c r="G117" s="65"/>
      <c r="H117" s="64"/>
    </row>
    <row r="118" spans="1:13">
      <c r="B118" s="32" t="s">
        <v>7</v>
      </c>
      <c r="K118" s="66"/>
    </row>
    <row r="119" spans="1:13">
      <c r="B119" s="30" t="s">
        <v>87</v>
      </c>
      <c r="G119" s="128" t="s">
        <v>83</v>
      </c>
      <c r="H119" s="128"/>
      <c r="I119" s="66"/>
    </row>
    <row r="120" spans="1:13">
      <c r="B120" s="30" t="s">
        <v>86</v>
      </c>
      <c r="G120" s="128" t="s">
        <v>84</v>
      </c>
      <c r="H120" s="128"/>
    </row>
    <row r="121" spans="1:13">
      <c r="B121" s="30" t="s">
        <v>88</v>
      </c>
      <c r="G121" s="128" t="s">
        <v>85</v>
      </c>
      <c r="H121" s="128"/>
      <c r="J121" s="66"/>
    </row>
    <row r="122" spans="1:13" ht="8.25" customHeight="1">
      <c r="G122" s="69"/>
      <c r="H122" s="69"/>
    </row>
    <row r="123" spans="1:13">
      <c r="B123" s="32" t="s">
        <v>1</v>
      </c>
    </row>
    <row r="124" spans="1:13">
      <c r="B124" s="30" t="s">
        <v>280</v>
      </c>
      <c r="G124" s="30" t="s">
        <v>277</v>
      </c>
    </row>
    <row r="125" spans="1:13" ht="7.5" customHeight="1"/>
    <row r="126" spans="1:13">
      <c r="B126" s="32" t="s">
        <v>2</v>
      </c>
    </row>
    <row r="127" spans="1:13">
      <c r="B127" s="30" t="s">
        <v>51</v>
      </c>
      <c r="G127" s="128" t="s">
        <v>134</v>
      </c>
      <c r="H127" s="128"/>
    </row>
    <row r="128" spans="1:13">
      <c r="B128" s="30" t="s">
        <v>278</v>
      </c>
      <c r="G128" s="30" t="s">
        <v>279</v>
      </c>
    </row>
  </sheetData>
  <mergeCells count="17">
    <mergeCell ref="G119:H119"/>
    <mergeCell ref="G120:H120"/>
    <mergeCell ref="G121:H121"/>
    <mergeCell ref="G127:H127"/>
    <mergeCell ref="A9:H9"/>
    <mergeCell ref="A11:H11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A5:H5"/>
    <mergeCell ref="A7:H7"/>
  </mergeCells>
  <printOptions horizontalCentered="1"/>
  <pageMargins left="0.78740157480314998" right="0.78740157480314998" top="0.59055118110236204" bottom="0.59055118110236204" header="0.27559055118110198" footer="0.31496062992126"/>
  <pageSetup paperSize="9" orientation="landscape" r:id="rId1"/>
  <ignoredErrors>
    <ignoredError sqref="H20 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гүйцэтгэлийн маягт-ГСХ (3)</vt:lpstr>
      <vt:lpstr>гүйцэтгэлийн маягт-ГСХ (2)</vt:lpstr>
      <vt:lpstr>Todotgol</vt:lpstr>
      <vt:lpstr>Guitsetgel</vt:lpstr>
      <vt:lpstr>Guitsetgel!Print_Titles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test1111</cp:lastModifiedBy>
  <cp:lastPrinted>2024-01-23T03:34:07Z</cp:lastPrinted>
  <dcterms:created xsi:type="dcterms:W3CDTF">2014-01-15T06:30:10Z</dcterms:created>
  <dcterms:modified xsi:type="dcterms:W3CDTF">2024-02-22T09:16:32Z</dcterms:modified>
</cp:coreProperties>
</file>