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2499D7DC-2E02-4163-861D-B5104811C13E}" xr6:coauthVersionLast="45" xr6:coauthVersionMax="45" xr10:uidLastSave="{00000000-0000-0000-0000-000000000000}"/>
  <bookViews>
    <workbookView xWindow="-108" yWindow="-108" windowWidth="23256" windowHeight="12456" tabRatio="992" activeTab="10" xr2:uid="{00000000-000D-0000-FFFF-FFFF00000000}"/>
  </bookViews>
  <sheets>
    <sheet name="2024.01" sheetId="59" r:id="rId1"/>
    <sheet name="2024.02" sheetId="60" r:id="rId2"/>
    <sheet name="2024.03" sheetId="61" r:id="rId3"/>
    <sheet name="2024.04" sheetId="62" r:id="rId4"/>
    <sheet name="2024.05" sheetId="63" r:id="rId5"/>
    <sheet name="2024.06" sheetId="64" r:id="rId6"/>
    <sheet name="2024.07" sheetId="65" r:id="rId7"/>
    <sheet name="2024.08" sheetId="66" r:id="rId8"/>
    <sheet name="2024.09" sheetId="67" r:id="rId9"/>
    <sheet name="2024.10" sheetId="68" r:id="rId10"/>
    <sheet name="2024.11-2024.12" sheetId="69" r:id="rId11"/>
  </sheets>
  <calcPr calcId="191029"/>
</workbook>
</file>

<file path=xl/calcChain.xml><?xml version="1.0" encoding="utf-8"?>
<calcChain xmlns="http://schemas.openxmlformats.org/spreadsheetml/2006/main">
  <c r="J94" i="69" l="1"/>
  <c r="H94" i="69"/>
  <c r="J76" i="69"/>
  <c r="H76" i="69"/>
  <c r="F72" i="69"/>
  <c r="J72" i="69" s="1"/>
  <c r="J63" i="69"/>
  <c r="J53" i="69"/>
  <c r="J52" i="69"/>
  <c r="H72" i="69" l="1"/>
  <c r="K80" i="68"/>
  <c r="K79" i="68"/>
  <c r="K78" i="68"/>
  <c r="K77" i="68"/>
  <c r="K76" i="68"/>
  <c r="M56" i="68" l="1"/>
  <c r="M55" i="68"/>
  <c r="M54" i="68"/>
  <c r="I97" i="69" l="1"/>
  <c r="I96" i="69"/>
  <c r="J95" i="69"/>
  <c r="H95" i="69"/>
  <c r="F97" i="69"/>
  <c r="H97" i="69" s="1"/>
  <c r="F96" i="69"/>
  <c r="H96" i="69" s="1"/>
  <c r="I90" i="69"/>
  <c r="J90" i="69" s="1"/>
  <c r="I91" i="69"/>
  <c r="J91" i="69" s="1"/>
  <c r="I92" i="69"/>
  <c r="J92" i="69" s="1"/>
  <c r="J93" i="69"/>
  <c r="H90" i="69"/>
  <c r="H91" i="69"/>
  <c r="H92" i="69"/>
  <c r="H93" i="69"/>
  <c r="J46" i="69"/>
  <c r="H46" i="69"/>
  <c r="J96" i="69" l="1"/>
  <c r="J97" i="69"/>
  <c r="J98" i="69"/>
  <c r="H98" i="69"/>
  <c r="H99" i="69" s="1"/>
  <c r="F89" i="69"/>
  <c r="H89" i="69" s="1"/>
  <c r="F88" i="69"/>
  <c r="J88" i="69" s="1"/>
  <c r="F87" i="69"/>
  <c r="H87" i="69" s="1"/>
  <c r="F86" i="69"/>
  <c r="H86" i="69" s="1"/>
  <c r="F85" i="69"/>
  <c r="J85" i="69" s="1"/>
  <c r="F84" i="69"/>
  <c r="H84" i="69" s="1"/>
  <c r="J82" i="69"/>
  <c r="H82" i="69"/>
  <c r="F81" i="69"/>
  <c r="H81" i="69" s="1"/>
  <c r="F80" i="69"/>
  <c r="J80" i="69" s="1"/>
  <c r="F79" i="69"/>
  <c r="H79" i="69" s="1"/>
  <c r="F78" i="69"/>
  <c r="H78" i="69" s="1"/>
  <c r="F77" i="69"/>
  <c r="J77" i="69" s="1"/>
  <c r="F75" i="69"/>
  <c r="J75" i="69" s="1"/>
  <c r="F74" i="69"/>
  <c r="H74" i="69" s="1"/>
  <c r="J73" i="69"/>
  <c r="H73" i="69"/>
  <c r="F71" i="69"/>
  <c r="J71" i="69" s="1"/>
  <c r="F70" i="69"/>
  <c r="J70" i="69" s="1"/>
  <c r="F69" i="69"/>
  <c r="H69" i="69" s="1"/>
  <c r="F68" i="69"/>
  <c r="H68" i="69" s="1"/>
  <c r="J67" i="69"/>
  <c r="H67" i="69"/>
  <c r="F66" i="69"/>
  <c r="J66" i="69" s="1"/>
  <c r="J64" i="69"/>
  <c r="H64" i="69"/>
  <c r="J62" i="69"/>
  <c r="H62" i="69"/>
  <c r="J61" i="69"/>
  <c r="J58" i="69"/>
  <c r="H58" i="69"/>
  <c r="J57" i="69"/>
  <c r="H57" i="69"/>
  <c r="J56" i="69"/>
  <c r="H56" i="69"/>
  <c r="J55" i="69"/>
  <c r="H55" i="69"/>
  <c r="H53" i="69"/>
  <c r="H52" i="69"/>
  <c r="J51" i="69"/>
  <c r="H51" i="69"/>
  <c r="J50" i="69"/>
  <c r="H50" i="69"/>
  <c r="J48" i="69"/>
  <c r="H48" i="69"/>
  <c r="J47" i="69"/>
  <c r="H47" i="69"/>
  <c r="J45" i="69"/>
  <c r="H45" i="69"/>
  <c r="J41" i="69"/>
  <c r="H41" i="69"/>
  <c r="J40" i="69"/>
  <c r="H40" i="69"/>
  <c r="J39" i="69"/>
  <c r="H39" i="69"/>
  <c r="J38" i="69"/>
  <c r="H38" i="69"/>
  <c r="J37" i="69"/>
  <c r="H37" i="69"/>
  <c r="J36" i="69"/>
  <c r="H36" i="69"/>
  <c r="J35" i="69"/>
  <c r="H35" i="69"/>
  <c r="J34" i="69"/>
  <c r="H34" i="69"/>
  <c r="J33" i="69"/>
  <c r="H33" i="69"/>
  <c r="J32" i="69"/>
  <c r="H32" i="69"/>
  <c r="J31" i="69"/>
  <c r="H31" i="69"/>
  <c r="J30" i="69"/>
  <c r="H30" i="69"/>
  <c r="J29" i="69"/>
  <c r="H29" i="69"/>
  <c r="J28" i="69"/>
  <c r="H28" i="69"/>
  <c r="J27" i="69"/>
  <c r="H27" i="69"/>
  <c r="J25" i="69"/>
  <c r="H25" i="69"/>
  <c r="J24" i="69"/>
  <c r="H24" i="69"/>
  <c r="J23" i="69"/>
  <c r="H23" i="69"/>
  <c r="J22" i="69"/>
  <c r="H22" i="69"/>
  <c r="J20" i="69"/>
  <c r="H20" i="69"/>
  <c r="J19" i="69"/>
  <c r="H19" i="69"/>
  <c r="J18" i="69"/>
  <c r="H18" i="69"/>
  <c r="J16" i="69"/>
  <c r="J17" i="69" s="1"/>
  <c r="H16" i="69"/>
  <c r="H17" i="69" s="1"/>
  <c r="J54" i="69" l="1"/>
  <c r="H59" i="69"/>
  <c r="J99" i="69"/>
  <c r="J86" i="69"/>
  <c r="J79" i="69"/>
  <c r="J43" i="69"/>
  <c r="J59" i="69"/>
  <c r="H49" i="69"/>
  <c r="J26" i="69"/>
  <c r="J49" i="69"/>
  <c r="J69" i="69"/>
  <c r="H54" i="69"/>
  <c r="H66" i="69"/>
  <c r="H26" i="69"/>
  <c r="J65" i="69"/>
  <c r="J21" i="69"/>
  <c r="H65" i="69"/>
  <c r="H43" i="69"/>
  <c r="H21" i="69"/>
  <c r="H80" i="69"/>
  <c r="J89" i="69"/>
  <c r="H70" i="69"/>
  <c r="J84" i="69"/>
  <c r="J74" i="69"/>
  <c r="J87" i="69"/>
  <c r="J78" i="69"/>
  <c r="H85" i="69"/>
  <c r="J68" i="69"/>
  <c r="H71" i="69"/>
  <c r="H75" i="69"/>
  <c r="J81" i="69"/>
  <c r="H88" i="69"/>
  <c r="H77" i="69"/>
  <c r="J86" i="68"/>
  <c r="J89" i="68"/>
  <c r="H100" i="69" l="1"/>
  <c r="J44" i="69"/>
  <c r="J60" i="69" s="1"/>
  <c r="J100" i="69"/>
  <c r="H44" i="69"/>
  <c r="H60" i="69" s="1"/>
  <c r="J87" i="68"/>
  <c r="H87" i="68"/>
  <c r="J70" i="68"/>
  <c r="H70" i="68"/>
  <c r="J65" i="68"/>
  <c r="H65" i="68"/>
  <c r="J102" i="69" l="1"/>
  <c r="J103" i="69" s="1"/>
  <c r="J104" i="69" s="1"/>
  <c r="H102" i="69"/>
  <c r="H103" i="69" s="1"/>
  <c r="H104" i="69" s="1"/>
  <c r="J88" i="68"/>
  <c r="H88" i="68"/>
  <c r="H89" i="68" s="1"/>
  <c r="F84" i="68"/>
  <c r="J84" i="68" s="1"/>
  <c r="F83" i="68"/>
  <c r="J83" i="68" s="1"/>
  <c r="F82" i="68"/>
  <c r="H82" i="68" s="1"/>
  <c r="F81" i="68"/>
  <c r="J81" i="68" s="1"/>
  <c r="F80" i="68"/>
  <c r="H80" i="68" s="1"/>
  <c r="F79" i="68"/>
  <c r="J79" i="68" s="1"/>
  <c r="J78" i="68"/>
  <c r="H78" i="68"/>
  <c r="F77" i="68"/>
  <c r="J77" i="68" s="1"/>
  <c r="F76" i="68"/>
  <c r="J76" i="68" s="1"/>
  <c r="F75" i="68"/>
  <c r="J75" i="68" s="1"/>
  <c r="F74" i="68"/>
  <c r="J74" i="68" s="1"/>
  <c r="F73" i="68"/>
  <c r="J73" i="68" s="1"/>
  <c r="F72" i="68"/>
  <c r="J72" i="68" s="1"/>
  <c r="F71" i="68"/>
  <c r="H71" i="68" s="1"/>
  <c r="F69" i="68"/>
  <c r="J69" i="68" s="1"/>
  <c r="F68" i="68"/>
  <c r="H68" i="68" s="1"/>
  <c r="F67" i="68"/>
  <c r="J67" i="68" s="1"/>
  <c r="F66" i="68"/>
  <c r="J66" i="68" s="1"/>
  <c r="F64" i="68"/>
  <c r="J64" i="68" s="1"/>
  <c r="J62" i="68"/>
  <c r="H62" i="68"/>
  <c r="J61" i="68"/>
  <c r="H61" i="68"/>
  <c r="J60" i="68"/>
  <c r="J57" i="68"/>
  <c r="H57" i="68"/>
  <c r="J56" i="68"/>
  <c r="H56" i="68"/>
  <c r="J55" i="68"/>
  <c r="H55" i="68"/>
  <c r="J54" i="68"/>
  <c r="H54" i="68"/>
  <c r="J52" i="68"/>
  <c r="H52" i="68"/>
  <c r="J51" i="68"/>
  <c r="H51" i="68"/>
  <c r="J50" i="68"/>
  <c r="H50" i="68"/>
  <c r="J49" i="68"/>
  <c r="H49" i="68"/>
  <c r="J47" i="68"/>
  <c r="H47" i="68"/>
  <c r="J46" i="68"/>
  <c r="H46" i="68"/>
  <c r="J45" i="68"/>
  <c r="H45" i="68"/>
  <c r="J42" i="68"/>
  <c r="H42" i="68"/>
  <c r="J41" i="68"/>
  <c r="H41" i="68"/>
  <c r="J40" i="68"/>
  <c r="H40" i="68"/>
  <c r="J39" i="68"/>
  <c r="H39" i="68"/>
  <c r="J38" i="68"/>
  <c r="H38" i="68"/>
  <c r="J37" i="68"/>
  <c r="H37" i="68"/>
  <c r="J36" i="68"/>
  <c r="H36" i="68"/>
  <c r="J35" i="68"/>
  <c r="H35" i="68"/>
  <c r="J34" i="68"/>
  <c r="H34" i="68"/>
  <c r="J33" i="68"/>
  <c r="H33" i="68"/>
  <c r="J32" i="68"/>
  <c r="H32" i="68"/>
  <c r="J31" i="68"/>
  <c r="H31" i="68"/>
  <c r="J30" i="68"/>
  <c r="H30" i="68"/>
  <c r="J29" i="68"/>
  <c r="H29" i="68"/>
  <c r="J28" i="68"/>
  <c r="H28" i="68"/>
  <c r="J27" i="68"/>
  <c r="H27" i="68"/>
  <c r="J25" i="68"/>
  <c r="H25" i="68"/>
  <c r="J24" i="68"/>
  <c r="H24" i="68"/>
  <c r="J23" i="68"/>
  <c r="H23" i="68"/>
  <c r="J22" i="68"/>
  <c r="H22" i="68"/>
  <c r="J20" i="68"/>
  <c r="H20" i="68"/>
  <c r="J19" i="68"/>
  <c r="H19" i="68"/>
  <c r="J18" i="68"/>
  <c r="H18" i="68"/>
  <c r="J16" i="68"/>
  <c r="J17" i="68" s="1"/>
  <c r="H16" i="68"/>
  <c r="H17" i="68" s="1"/>
  <c r="J48" i="68" l="1"/>
  <c r="J82" i="68"/>
  <c r="H64" i="68"/>
  <c r="H75" i="68"/>
  <c r="J53" i="68"/>
  <c r="J71" i="68"/>
  <c r="H26" i="68"/>
  <c r="J58" i="68"/>
  <c r="H66" i="68"/>
  <c r="J26" i="68"/>
  <c r="H74" i="68"/>
  <c r="J63" i="68"/>
  <c r="H63" i="68"/>
  <c r="J43" i="68"/>
  <c r="J21" i="68"/>
  <c r="H58" i="68"/>
  <c r="H53" i="68"/>
  <c r="H48" i="68"/>
  <c r="H43" i="68"/>
  <c r="H21" i="68"/>
  <c r="H77" i="68"/>
  <c r="J68" i="68"/>
  <c r="H72" i="68"/>
  <c r="J80" i="68"/>
  <c r="H83" i="68"/>
  <c r="H69" i="68"/>
  <c r="H81" i="68"/>
  <c r="H73" i="68"/>
  <c r="H84" i="68"/>
  <c r="H67" i="68"/>
  <c r="H76" i="68"/>
  <c r="H79" i="68"/>
  <c r="K84" i="67"/>
  <c r="K87" i="67" s="1"/>
  <c r="K86" i="67"/>
  <c r="K83" i="67"/>
  <c r="K82" i="67"/>
  <c r="J90" i="68" l="1"/>
  <c r="H86" i="68"/>
  <c r="H90" i="68" s="1"/>
  <c r="J44" i="68"/>
  <c r="J59" i="68" s="1"/>
  <c r="H44" i="68"/>
  <c r="H59" i="68" s="1"/>
  <c r="J86" i="67"/>
  <c r="J84" i="67"/>
  <c r="H84" i="67"/>
  <c r="J92" i="68" l="1"/>
  <c r="J93" i="68" s="1"/>
  <c r="J94" i="68" s="1"/>
  <c r="H92" i="68"/>
  <c r="H93" i="68" s="1"/>
  <c r="H94" i="68" s="1"/>
  <c r="F82" i="67"/>
  <c r="H82" i="67" s="1"/>
  <c r="F81" i="67"/>
  <c r="H81" i="67" s="1"/>
  <c r="F80" i="67"/>
  <c r="J80" i="67" s="1"/>
  <c r="F79" i="67"/>
  <c r="J79" i="67" s="1"/>
  <c r="F78" i="67"/>
  <c r="H78" i="67" s="1"/>
  <c r="F77" i="67"/>
  <c r="H77" i="67" s="1"/>
  <c r="F67" i="67"/>
  <c r="J67" i="67" s="1"/>
  <c r="J50" i="67"/>
  <c r="H50" i="67"/>
  <c r="J46" i="67"/>
  <c r="J47" i="67"/>
  <c r="J45" i="67"/>
  <c r="H46" i="67"/>
  <c r="H47" i="67"/>
  <c r="H45" i="67"/>
  <c r="J36" i="67"/>
  <c r="J37" i="67"/>
  <c r="H36" i="67"/>
  <c r="H37" i="67"/>
  <c r="J30" i="67"/>
  <c r="H30" i="67"/>
  <c r="J19" i="67"/>
  <c r="H19" i="67"/>
  <c r="H80" i="67" l="1"/>
  <c r="H79" i="67"/>
  <c r="J82" i="67"/>
  <c r="J78" i="67"/>
  <c r="J77" i="67"/>
  <c r="J81" i="67"/>
  <c r="H67" i="67"/>
  <c r="H48" i="67"/>
  <c r="J48" i="67"/>
  <c r="J85" i="67"/>
  <c r="H85" i="67"/>
  <c r="J76" i="67"/>
  <c r="H76" i="67"/>
  <c r="F75" i="67"/>
  <c r="J75" i="67" s="1"/>
  <c r="F74" i="67"/>
  <c r="J74" i="67" s="1"/>
  <c r="F73" i="67"/>
  <c r="H73" i="67" s="1"/>
  <c r="F72" i="67"/>
  <c r="J72" i="67" s="1"/>
  <c r="F71" i="67"/>
  <c r="J71" i="67" s="1"/>
  <c r="F70" i="67"/>
  <c r="J70" i="67" s="1"/>
  <c r="F69" i="67"/>
  <c r="J69" i="67" s="1"/>
  <c r="F68" i="67"/>
  <c r="H68" i="67" s="1"/>
  <c r="F66" i="67"/>
  <c r="J66" i="67" s="1"/>
  <c r="F65" i="67"/>
  <c r="J65" i="67" s="1"/>
  <c r="F64" i="67"/>
  <c r="H64" i="67" s="1"/>
  <c r="J62" i="67"/>
  <c r="H62" i="67"/>
  <c r="J61" i="67"/>
  <c r="H61" i="67"/>
  <c r="J60" i="67"/>
  <c r="J57" i="67"/>
  <c r="H57" i="67"/>
  <c r="J56" i="67"/>
  <c r="H56" i="67"/>
  <c r="J55" i="67"/>
  <c r="H55" i="67"/>
  <c r="J54" i="67"/>
  <c r="H54" i="67"/>
  <c r="J52" i="67"/>
  <c r="H52" i="67"/>
  <c r="J51" i="67"/>
  <c r="H51" i="67"/>
  <c r="J49" i="67"/>
  <c r="H49" i="67"/>
  <c r="J42" i="67"/>
  <c r="H42" i="67"/>
  <c r="J41" i="67"/>
  <c r="H41" i="67"/>
  <c r="J40" i="67"/>
  <c r="H40" i="67"/>
  <c r="J39" i="67"/>
  <c r="H39" i="67"/>
  <c r="J38" i="67"/>
  <c r="H38" i="67"/>
  <c r="J35" i="67"/>
  <c r="H35" i="67"/>
  <c r="J34" i="67"/>
  <c r="H34" i="67"/>
  <c r="J33" i="67"/>
  <c r="H33" i="67"/>
  <c r="J32" i="67"/>
  <c r="H32" i="67"/>
  <c r="J31" i="67"/>
  <c r="H31" i="67"/>
  <c r="J29" i="67"/>
  <c r="H29" i="67"/>
  <c r="J28" i="67"/>
  <c r="H28" i="67"/>
  <c r="J27" i="67"/>
  <c r="H27" i="67"/>
  <c r="J25" i="67"/>
  <c r="H25" i="67"/>
  <c r="J24" i="67"/>
  <c r="H24" i="67"/>
  <c r="J23" i="67"/>
  <c r="H23" i="67"/>
  <c r="J22" i="67"/>
  <c r="H22" i="67"/>
  <c r="J20" i="67"/>
  <c r="H20" i="67"/>
  <c r="J18" i="67"/>
  <c r="H18" i="67"/>
  <c r="J16" i="67"/>
  <c r="J17" i="67" s="1"/>
  <c r="H16" i="67"/>
  <c r="H17" i="67" s="1"/>
  <c r="J43" i="67" l="1"/>
  <c r="H43" i="67"/>
  <c r="H53" i="67"/>
  <c r="J53" i="67"/>
  <c r="J63" i="67"/>
  <c r="J58" i="67"/>
  <c r="J68" i="67"/>
  <c r="H63" i="67"/>
  <c r="J26" i="67"/>
  <c r="H21" i="67"/>
  <c r="H58" i="67"/>
  <c r="J21" i="67"/>
  <c r="H71" i="67"/>
  <c r="H26" i="67"/>
  <c r="H74" i="67"/>
  <c r="H69" i="67"/>
  <c r="H75" i="67"/>
  <c r="H70" i="67"/>
  <c r="H86" i="67"/>
  <c r="J64" i="67"/>
  <c r="J73" i="67"/>
  <c r="H65" i="67"/>
  <c r="H72" i="67"/>
  <c r="H66" i="67"/>
  <c r="K56" i="66"/>
  <c r="K55" i="66"/>
  <c r="K54" i="66"/>
  <c r="K53" i="66"/>
  <c r="K52" i="66"/>
  <c r="J87" i="67" l="1"/>
  <c r="J44" i="67"/>
  <c r="J59" i="67" s="1"/>
  <c r="H87" i="67"/>
  <c r="H44" i="67"/>
  <c r="H59" i="67" s="1"/>
  <c r="H51" i="66"/>
  <c r="J89" i="67" l="1"/>
  <c r="J90" i="67" s="1"/>
  <c r="J91" i="67" s="1"/>
  <c r="H89" i="67"/>
  <c r="H90" i="67" s="1"/>
  <c r="H91" i="67" s="1"/>
  <c r="I70" i="66"/>
  <c r="H70" i="66"/>
  <c r="J70" i="66" s="1"/>
  <c r="J71" i="66" s="1"/>
  <c r="J68" i="66"/>
  <c r="H68" i="66"/>
  <c r="F64" i="66"/>
  <c r="J64" i="66" s="1"/>
  <c r="H71" i="66" l="1"/>
  <c r="H64" i="66"/>
  <c r="J33" i="66"/>
  <c r="J34" i="66"/>
  <c r="J35" i="66"/>
  <c r="J36" i="66"/>
  <c r="J37" i="66"/>
  <c r="J38" i="66"/>
  <c r="J39" i="66"/>
  <c r="H33" i="66"/>
  <c r="H34" i="66"/>
  <c r="H35" i="66"/>
  <c r="H36" i="66"/>
  <c r="H37" i="66"/>
  <c r="H38" i="66"/>
  <c r="H39" i="66"/>
  <c r="J26" i="66"/>
  <c r="J27" i="66"/>
  <c r="J28" i="66"/>
  <c r="I45" i="65"/>
  <c r="I63" i="65"/>
  <c r="F67" i="66"/>
  <c r="H67" i="66" s="1"/>
  <c r="F66" i="66"/>
  <c r="H66" i="66" s="1"/>
  <c r="F65" i="66"/>
  <c r="H65" i="66" s="1"/>
  <c r="F63" i="66"/>
  <c r="H63" i="66" s="1"/>
  <c r="F62" i="66"/>
  <c r="H62" i="66" s="1"/>
  <c r="F61" i="66"/>
  <c r="H61" i="66" s="1"/>
  <c r="F60" i="66"/>
  <c r="H60" i="66" s="1"/>
  <c r="F59" i="66"/>
  <c r="H59" i="66" s="1"/>
  <c r="F58" i="66"/>
  <c r="H58" i="66" s="1"/>
  <c r="F57" i="66"/>
  <c r="H57" i="66" s="1"/>
  <c r="J55" i="66"/>
  <c r="H55" i="66"/>
  <c r="J54" i="66"/>
  <c r="H54" i="66"/>
  <c r="J53" i="66"/>
  <c r="J50" i="66"/>
  <c r="H50" i="66"/>
  <c r="J49" i="66"/>
  <c r="H49" i="66"/>
  <c r="J48" i="66"/>
  <c r="H48" i="66"/>
  <c r="J46" i="66"/>
  <c r="H46" i="66"/>
  <c r="J44" i="66"/>
  <c r="H44" i="66"/>
  <c r="J43" i="66"/>
  <c r="H43" i="66"/>
  <c r="J42" i="66"/>
  <c r="H42" i="66"/>
  <c r="J32" i="66"/>
  <c r="H32" i="66"/>
  <c r="J31" i="66"/>
  <c r="H31" i="66"/>
  <c r="J30" i="66"/>
  <c r="H30" i="66"/>
  <c r="J29" i="66"/>
  <c r="H29" i="66"/>
  <c r="H28" i="66"/>
  <c r="H27" i="66"/>
  <c r="H26" i="66"/>
  <c r="J24" i="66"/>
  <c r="H24" i="66"/>
  <c r="J23" i="66"/>
  <c r="H23" i="66"/>
  <c r="J22" i="66"/>
  <c r="H22" i="66"/>
  <c r="J21" i="66"/>
  <c r="H21" i="66"/>
  <c r="J19" i="66"/>
  <c r="H19" i="66"/>
  <c r="J18" i="66"/>
  <c r="H18" i="66"/>
  <c r="J16" i="66"/>
  <c r="J17" i="66" s="1"/>
  <c r="H16" i="66"/>
  <c r="H17" i="66" s="1"/>
  <c r="H69" i="66" l="1"/>
  <c r="H40" i="66"/>
  <c r="H56" i="66"/>
  <c r="J66" i="66"/>
  <c r="J40" i="66"/>
  <c r="J20" i="66"/>
  <c r="J57" i="66"/>
  <c r="J65" i="66"/>
  <c r="J69" i="66" s="1"/>
  <c r="J63" i="66"/>
  <c r="J62" i="66"/>
  <c r="J61" i="66"/>
  <c r="J60" i="66"/>
  <c r="J59" i="66"/>
  <c r="J67" i="66"/>
  <c r="J58" i="66"/>
  <c r="J51" i="66"/>
  <c r="J56" i="66"/>
  <c r="J45" i="66"/>
  <c r="J25" i="66"/>
  <c r="H45" i="66"/>
  <c r="H25" i="66"/>
  <c r="H20" i="66"/>
  <c r="J49" i="65"/>
  <c r="J48" i="65"/>
  <c r="J47" i="65"/>
  <c r="J46" i="65"/>
  <c r="J45" i="65"/>
  <c r="H72" i="66" l="1"/>
  <c r="J72" i="66"/>
  <c r="J41" i="66"/>
  <c r="J52" i="66"/>
  <c r="H41" i="66"/>
  <c r="H52" i="66" s="1"/>
  <c r="H51" i="65"/>
  <c r="H52" i="65"/>
  <c r="H53" i="65"/>
  <c r="H54" i="65"/>
  <c r="H55" i="65"/>
  <c r="H56" i="65"/>
  <c r="H57" i="65"/>
  <c r="H58" i="65"/>
  <c r="H59" i="65"/>
  <c r="H50" i="65"/>
  <c r="E59" i="65"/>
  <c r="G59" i="65" s="1"/>
  <c r="I59" i="65" s="1"/>
  <c r="E58" i="65"/>
  <c r="G58" i="65" s="1"/>
  <c r="I58" i="65" s="1"/>
  <c r="E57" i="65"/>
  <c r="G57" i="65" s="1"/>
  <c r="I57" i="65" s="1"/>
  <c r="E56" i="65"/>
  <c r="G56" i="65" s="1"/>
  <c r="I56" i="65" s="1"/>
  <c r="E55" i="65"/>
  <c r="G55" i="65" s="1"/>
  <c r="I55" i="65" s="1"/>
  <c r="E54" i="65"/>
  <c r="G54" i="65" s="1"/>
  <c r="I54" i="65" s="1"/>
  <c r="E53" i="65"/>
  <c r="G53" i="65" s="1"/>
  <c r="I53" i="65" s="1"/>
  <c r="E52" i="65"/>
  <c r="G52" i="65" s="1"/>
  <c r="I52" i="65" s="1"/>
  <c r="E51" i="65"/>
  <c r="G51" i="65" s="1"/>
  <c r="I51" i="65" s="1"/>
  <c r="E50" i="65"/>
  <c r="G50" i="65" s="1"/>
  <c r="I50" i="65" s="1"/>
  <c r="H39" i="65"/>
  <c r="J74" i="66" l="1"/>
  <c r="J75" i="66" s="1"/>
  <c r="J76" i="66" s="1"/>
  <c r="H74" i="66"/>
  <c r="H75" i="66" s="1"/>
  <c r="H76" i="66" s="1"/>
  <c r="G60" i="65"/>
  <c r="H27" i="65"/>
  <c r="G27" i="65"/>
  <c r="I27" i="65" s="1"/>
  <c r="H32" i="65"/>
  <c r="I32" i="65" s="1"/>
  <c r="H31" i="65"/>
  <c r="I31" i="65" s="1"/>
  <c r="H26" i="65"/>
  <c r="G26" i="65"/>
  <c r="I26" i="65" s="1"/>
  <c r="I28" i="65"/>
  <c r="I29" i="65"/>
  <c r="I30" i="65"/>
  <c r="I22" i="65"/>
  <c r="I23" i="65"/>
  <c r="I24" i="65"/>
  <c r="I21" i="65"/>
  <c r="I48" i="65"/>
  <c r="G48" i="65"/>
  <c r="I47" i="65"/>
  <c r="G47" i="65"/>
  <c r="I46" i="65"/>
  <c r="I43" i="65"/>
  <c r="G43" i="65"/>
  <c r="I42" i="65"/>
  <c r="G42" i="65"/>
  <c r="I40" i="65"/>
  <c r="G40" i="65"/>
  <c r="I39" i="65"/>
  <c r="G39" i="65"/>
  <c r="I37" i="65"/>
  <c r="G37" i="65"/>
  <c r="I36" i="65"/>
  <c r="G36" i="65"/>
  <c r="I35" i="65"/>
  <c r="G35" i="65"/>
  <c r="G32" i="65"/>
  <c r="G31" i="65"/>
  <c r="G30" i="65"/>
  <c r="G29" i="65"/>
  <c r="G28" i="65"/>
  <c r="G24" i="65"/>
  <c r="G23" i="65"/>
  <c r="G22" i="65"/>
  <c r="G21" i="65"/>
  <c r="I19" i="65"/>
  <c r="G19" i="65"/>
  <c r="I18" i="65"/>
  <c r="G18" i="65"/>
  <c r="I16" i="65"/>
  <c r="I17" i="65" s="1"/>
  <c r="G16" i="65"/>
  <c r="G17" i="65" s="1"/>
  <c r="G44" i="65" l="1"/>
  <c r="I44" i="65"/>
  <c r="I60" i="65"/>
  <c r="G20" i="65"/>
  <c r="G25" i="65"/>
  <c r="I33" i="65"/>
  <c r="G33" i="65"/>
  <c r="G34" i="65" s="1"/>
  <c r="I25" i="65"/>
  <c r="G49" i="65"/>
  <c r="G61" i="65" s="1"/>
  <c r="G38" i="65"/>
  <c r="I20" i="65"/>
  <c r="I38" i="65"/>
  <c r="I49" i="65"/>
  <c r="I44" i="64"/>
  <c r="I61" i="65" l="1"/>
  <c r="I34" i="65"/>
  <c r="G45" i="65"/>
  <c r="G63" i="65" s="1"/>
  <c r="I41" i="63"/>
  <c r="I35" i="63"/>
  <c r="I34" i="63"/>
  <c r="I64" i="65" l="1"/>
  <c r="I65" i="65" s="1"/>
  <c r="G64" i="65"/>
  <c r="G65" i="65" s="1"/>
  <c r="K42" i="63"/>
  <c r="I44" i="63" l="1"/>
  <c r="I43" i="63"/>
  <c r="I42" i="63"/>
  <c r="F41" i="64" l="1"/>
  <c r="H27" i="64"/>
  <c r="F27" i="64"/>
  <c r="H26" i="64"/>
  <c r="H28" i="64"/>
  <c r="F26" i="64"/>
  <c r="F28" i="64"/>
  <c r="F29" i="64"/>
  <c r="G22" i="64"/>
  <c r="G23" i="64"/>
  <c r="G24" i="64"/>
  <c r="G21" i="64"/>
  <c r="F22" i="64"/>
  <c r="H22" i="64" s="1"/>
  <c r="F23" i="64"/>
  <c r="H23" i="64" s="1"/>
  <c r="F24" i="64"/>
  <c r="H24" i="64" s="1"/>
  <c r="F21" i="64"/>
  <c r="H44" i="64"/>
  <c r="H45" i="64"/>
  <c r="H43" i="64"/>
  <c r="H38" i="64"/>
  <c r="H39" i="64"/>
  <c r="H40" i="64"/>
  <c r="H37" i="64"/>
  <c r="H34" i="64"/>
  <c r="H35" i="64"/>
  <c r="H33" i="64"/>
  <c r="H29" i="64"/>
  <c r="H18" i="64"/>
  <c r="H16" i="64"/>
  <c r="F45" i="64"/>
  <c r="F44" i="64"/>
  <c r="F40" i="64"/>
  <c r="F39" i="64"/>
  <c r="F38" i="64"/>
  <c r="F37" i="64"/>
  <c r="F35" i="64"/>
  <c r="F34" i="64"/>
  <c r="F36" i="64" s="1"/>
  <c r="F33" i="64"/>
  <c r="H30" i="64"/>
  <c r="F30" i="64"/>
  <c r="H19" i="64"/>
  <c r="F19" i="64"/>
  <c r="F18" i="64"/>
  <c r="F16" i="64"/>
  <c r="F17" i="64" s="1"/>
  <c r="H36" i="64" l="1"/>
  <c r="H31" i="64"/>
  <c r="F31" i="64"/>
  <c r="H46" i="64"/>
  <c r="H47" i="64" s="1"/>
  <c r="F25" i="64"/>
  <c r="H21" i="64"/>
  <c r="H25" i="64" s="1"/>
  <c r="F20" i="64"/>
  <c r="F46" i="64"/>
  <c r="F47" i="64" s="1"/>
  <c r="H20" i="64"/>
  <c r="H17" i="64"/>
  <c r="H41" i="64"/>
  <c r="F32" i="64" l="1"/>
  <c r="F42" i="64" s="1"/>
  <c r="H32" i="64"/>
  <c r="H42" i="64" s="1"/>
  <c r="H49" i="64" s="1"/>
  <c r="H50" i="64" s="1"/>
  <c r="H51" i="64" s="1"/>
  <c r="G30" i="63"/>
  <c r="G31" i="63"/>
  <c r="G32" i="63"/>
  <c r="G29" i="63"/>
  <c r="F30" i="63"/>
  <c r="H30" i="63" s="1"/>
  <c r="F31" i="63"/>
  <c r="H31" i="63" s="1"/>
  <c r="F32" i="63"/>
  <c r="H32" i="63" s="1"/>
  <c r="F29" i="63"/>
  <c r="H29" i="63" s="1"/>
  <c r="G27" i="63"/>
  <c r="G26" i="63"/>
  <c r="F26" i="63"/>
  <c r="H26" i="63" s="1"/>
  <c r="G24" i="63"/>
  <c r="G22" i="63"/>
  <c r="G21" i="63"/>
  <c r="F22" i="63"/>
  <c r="H22" i="63" s="1"/>
  <c r="F21" i="63"/>
  <c r="H21" i="63" s="1"/>
  <c r="G19" i="63"/>
  <c r="G18" i="63"/>
  <c r="F19" i="63"/>
  <c r="F18" i="63"/>
  <c r="H18" i="63" s="1"/>
  <c r="G16" i="63"/>
  <c r="F16" i="63"/>
  <c r="F17" i="63" s="1"/>
  <c r="H38" i="63"/>
  <c r="F38" i="63"/>
  <c r="H37" i="63"/>
  <c r="F37" i="63"/>
  <c r="H36" i="63"/>
  <c r="H27" i="63"/>
  <c r="F27" i="63"/>
  <c r="H25" i="63"/>
  <c r="F25" i="63"/>
  <c r="F49" i="64" l="1"/>
  <c r="F50" i="64" s="1"/>
  <c r="F51" i="64" s="1"/>
  <c r="I42" i="64"/>
  <c r="I43" i="64" s="1"/>
  <c r="I45" i="64" s="1"/>
  <c r="I46" i="64" s="1"/>
  <c r="I47" i="64" s="1"/>
  <c r="F33" i="63"/>
  <c r="H33" i="63"/>
  <c r="H28" i="63"/>
  <c r="H23" i="63"/>
  <c r="F23" i="63"/>
  <c r="F20" i="63"/>
  <c r="H19" i="63"/>
  <c r="H20" i="63" s="1"/>
  <c r="H16" i="63"/>
  <c r="H17" i="63" s="1"/>
  <c r="F39" i="63"/>
  <c r="F40" i="63" s="1"/>
  <c r="H39" i="63"/>
  <c r="H40" i="63" s="1"/>
  <c r="F28" i="63"/>
  <c r="I27" i="62"/>
  <c r="I26" i="62"/>
  <c r="I25" i="62"/>
  <c r="I23" i="62"/>
  <c r="I20" i="62"/>
  <c r="I19" i="62"/>
  <c r="I26" i="60"/>
  <c r="I25" i="60"/>
  <c r="I24" i="60"/>
  <c r="I21" i="60"/>
  <c r="I20" i="60"/>
  <c r="I19" i="60"/>
  <c r="I26" i="59"/>
  <c r="I25" i="59"/>
  <c r="I24" i="59"/>
  <c r="I21" i="59"/>
  <c r="I20" i="59"/>
  <c r="I19" i="59"/>
  <c r="H24" i="63" l="1"/>
  <c r="H34" i="63" s="1"/>
  <c r="H42" i="63" s="1"/>
  <c r="H43" i="63" s="1"/>
  <c r="H44" i="63" s="1"/>
  <c r="F24" i="63"/>
  <c r="F34" i="63" s="1"/>
  <c r="F42" i="63" s="1"/>
  <c r="G21" i="62"/>
  <c r="G20" i="62"/>
  <c r="H20" i="62"/>
  <c r="H21" i="62"/>
  <c r="F20" i="62"/>
  <c r="F21" i="62"/>
  <c r="H16" i="62"/>
  <c r="F16" i="62"/>
  <c r="F43" i="63" l="1"/>
  <c r="F44" i="63" s="1"/>
  <c r="G22" i="62"/>
  <c r="H22" i="62" s="1"/>
  <c r="G17" i="62"/>
  <c r="H17" i="62" s="1"/>
  <c r="H18" i="62" s="1"/>
  <c r="H19" i="62" s="1"/>
  <c r="F22" i="62"/>
  <c r="F23" i="62" s="1"/>
  <c r="F17" i="62"/>
  <c r="H23" i="62" l="1"/>
  <c r="H24" i="62" s="1"/>
  <c r="H26" i="62" s="1"/>
  <c r="H27" i="62" s="1"/>
  <c r="H28" i="62" s="1"/>
  <c r="F18" i="62"/>
  <c r="F19" i="62" s="1"/>
  <c r="F24" i="62"/>
  <c r="I26" i="61"/>
  <c r="I25" i="61"/>
  <c r="I24" i="61"/>
  <c r="H24" i="61"/>
  <c r="H25" i="61" s="1"/>
  <c r="H26" i="61" s="1"/>
  <c r="I21" i="61"/>
  <c r="I20" i="61"/>
  <c r="I19" i="61"/>
  <c r="F26" i="62" l="1"/>
  <c r="F27" i="62" s="1"/>
  <c r="F28" i="62" s="1"/>
  <c r="F26" i="61"/>
  <c r="G17" i="61"/>
  <c r="H17" i="61" s="1"/>
  <c r="H18" i="61" s="1"/>
  <c r="H19" i="61" s="1"/>
  <c r="H20" i="61"/>
  <c r="H21" i="61" s="1"/>
  <c r="H22" i="61" s="1"/>
  <c r="F20" i="61"/>
  <c r="F21" i="61" s="1"/>
  <c r="F22" i="61" s="1"/>
  <c r="G18" i="61"/>
  <c r="F17" i="61"/>
  <c r="F18" i="61" s="1"/>
  <c r="F19" i="61" s="1"/>
  <c r="F24" i="61" s="1"/>
  <c r="F25" i="61" l="1"/>
  <c r="G21" i="60"/>
  <c r="H20" i="60"/>
  <c r="H21" i="60" s="1"/>
  <c r="H22" i="60" s="1"/>
  <c r="F20" i="60"/>
  <c r="F21" i="60" s="1"/>
  <c r="F22" i="60" s="1"/>
  <c r="G18" i="60"/>
  <c r="H17" i="60"/>
  <c r="H18" i="60" s="1"/>
  <c r="H19" i="60" s="1"/>
  <c r="H24" i="60" s="1"/>
  <c r="H25" i="60" s="1"/>
  <c r="H26" i="60" s="1"/>
  <c r="F17" i="60"/>
  <c r="F18" i="60" s="1"/>
  <c r="F19" i="60" s="1"/>
  <c r="F24" i="60" l="1"/>
  <c r="F25" i="60" s="1"/>
  <c r="F26" i="60" l="1"/>
  <c r="G18" i="59"/>
  <c r="G20" i="59"/>
  <c r="H20" i="59" s="1"/>
  <c r="G21" i="59"/>
  <c r="G17" i="59"/>
  <c r="H17" i="59" s="1"/>
  <c r="H18" i="59" s="1"/>
  <c r="H19" i="59" s="1"/>
  <c r="F17" i="59"/>
  <c r="F20" i="59"/>
  <c r="F18" i="59"/>
  <c r="F19" i="59" s="1"/>
  <c r="F21" i="59" l="1"/>
  <c r="F22" i="59" s="1"/>
  <c r="F24" i="59" s="1"/>
  <c r="F25" i="59" s="1"/>
  <c r="F26" i="59" s="1"/>
  <c r="H21" i="59"/>
  <c r="H22" i="59" s="1"/>
  <c r="H24" i="59" s="1"/>
  <c r="H25" i="59" l="1"/>
  <c r="H26" i="59" s="1"/>
</calcChain>
</file>

<file path=xl/sharedStrings.xml><?xml version="1.0" encoding="utf-8"?>
<sst xmlns="http://schemas.openxmlformats.org/spreadsheetml/2006/main" count="1265" uniqueCount="158">
  <si>
    <t>Дүн</t>
  </si>
  <si>
    <t>Ажлын нэр, төрөл</t>
  </si>
  <si>
    <t>Тоо</t>
  </si>
  <si>
    <t>НӨАТ-10 %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</si>
  <si>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</si>
  <si>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</si>
  <si>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</si>
  <si>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</si>
  <si>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</si>
  <si>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</si>
  <si>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</si>
  <si>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</si>
  <si>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</si>
  <si>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</si>
  <si>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</si>
  <si>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</si>
  <si>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</si>
  <si>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</si>
  <si>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</si>
  <si>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</si>
  <si>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</si>
  <si>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</si>
  <si>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</si>
  <si>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</si>
  <si>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VIII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</si>
  <si>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</si>
  <si>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</si>
  <si>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</si>
  <si>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</si>
  <si>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</si>
  <si>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</si>
  <si>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</si>
  <si>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</si>
  <si>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2024 оны 01 дугаар сарын 1-нээс 01 дугаар сарын 31-ний өдөр хүртэл</t>
  </si>
  <si>
    <t>Гүйцэтгэгч:</t>
  </si>
  <si>
    <t>Захирал</t>
  </si>
  <si>
    <t>Д.Отгонбаатар</t>
  </si>
  <si>
    <t>А.Амарбаясгалан</t>
  </si>
  <si>
    <t>С.Ариунсанаа</t>
  </si>
  <si>
    <t>Ахлах геологич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</si>
  <si>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</si>
  <si>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</si>
  <si>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</si>
  <si>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</si>
  <si>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</si>
  <si>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</si>
  <si>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</si>
  <si>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</si>
  <si>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</si>
  <si>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2024 оны 02 дугаар сарын 1-нээс 02 дугаар сарын 29-ний өдөр хүртэл</t>
  </si>
  <si>
    <t>2024 оны 03 дугаар сарын 1-нээс 03 дугаар сарын 31-ний өдөр хүртэл</t>
  </si>
  <si>
    <t>Төслийн ахлагч</t>
  </si>
  <si>
    <t>Г.Мөнхзул</t>
  </si>
  <si>
    <t>2024 оны 04 дүгээр сарын 1-нээс 04 дугаар сарын 30-ний өдөр хүртэл</t>
  </si>
  <si>
    <t xml:space="preserve">Анги зохион байгуулалт </t>
  </si>
  <si>
    <t>%</t>
  </si>
  <si>
    <t xml:space="preserve">Автомашины татвар хураамж: УАЗ-фургон </t>
  </si>
  <si>
    <t>ш</t>
  </si>
  <si>
    <t>Mitsubishi Canter</t>
  </si>
  <si>
    <t>НИЙТ АЖЛЫН ДҮН</t>
  </si>
  <si>
    <t>2024 оны 05 дугаар сарын 1-нээс 05 дугаар сарын 31-ний өдөр хүртэл</t>
  </si>
  <si>
    <t>Төсөл, төсөв зохиолт</t>
  </si>
  <si>
    <t>хүн/ө</t>
  </si>
  <si>
    <t>БЭЛТГЭЛ АЖЛЫН ДҮН</t>
  </si>
  <si>
    <t>т.км</t>
  </si>
  <si>
    <t>Шалган холбох маршрут</t>
  </si>
  <si>
    <t>Эрлийн маршрут</t>
  </si>
  <si>
    <t>сорьц</t>
  </si>
  <si>
    <t>Цэглэн</t>
  </si>
  <si>
    <t>Литогеохими /зураглал, эрэл/</t>
  </si>
  <si>
    <t>МАРШРУТ, ТАЛБАЙН СОРЬЦЛОЛТЫН ДҮН</t>
  </si>
  <si>
    <t>СОРЬЦЛОЛТЫН ДҮН</t>
  </si>
  <si>
    <t>ХЭЭРИЙН АЖЛЫН ДҮН</t>
  </si>
  <si>
    <t>Хээрийн хангамж /томилолт/</t>
  </si>
  <si>
    <t>Тээвэр:               Хүн тээвэр /УАЗ-фургон/</t>
  </si>
  <si>
    <t xml:space="preserve">                  Үйлвэрийн тээвэр /УАЗ-фургон/</t>
  </si>
  <si>
    <t xml:space="preserve">                   Ачаа тээвэр /УАЗ-фургон/</t>
  </si>
  <si>
    <t xml:space="preserve">                  Ачаа тээвэр /Mitsubishi Canter/</t>
  </si>
  <si>
    <t>.</t>
  </si>
  <si>
    <t>ТЭЭВРИЙН ДҮН</t>
  </si>
  <si>
    <t>I</t>
  </si>
  <si>
    <t>II</t>
  </si>
  <si>
    <t>X</t>
  </si>
  <si>
    <t>2024 оны 06 дугаар сарын 1-нээс 06 дугаар сарын 30-ний өдөр хүртэл</t>
  </si>
  <si>
    <t>Суваг малталт -гар аргаар</t>
  </si>
  <si>
    <t>куб.м</t>
  </si>
  <si>
    <t>Шурф малталт 2.5-4.0м гүнтэй</t>
  </si>
  <si>
    <t>т.м</t>
  </si>
  <si>
    <t>Цэвэрлэгээ</t>
  </si>
  <si>
    <t>Булалт</t>
  </si>
  <si>
    <t>Ховилон</t>
  </si>
  <si>
    <t>Литогеохими /суваг/</t>
  </si>
  <si>
    <t>Шурфын дээжийн угаалга</t>
  </si>
  <si>
    <t>УУЛЫН АЖЛЫН ДҮН</t>
  </si>
  <si>
    <t>XI</t>
  </si>
  <si>
    <t>XII</t>
  </si>
  <si>
    <t>XIII</t>
  </si>
  <si>
    <t>2024 оны 07 дугаар сарын 1-нээс 07 дугаар сарын 31-ний өдөр хүртэл</t>
  </si>
  <si>
    <t>Силикатын дээж</t>
  </si>
  <si>
    <t>Протолочек авах</t>
  </si>
  <si>
    <t>Протолочекын бүрэн шинжилгээ</t>
  </si>
  <si>
    <t>Петрографын хураангуй</t>
  </si>
  <si>
    <t>Шлиф бэлтгэл</t>
  </si>
  <si>
    <t>шл</t>
  </si>
  <si>
    <t>Аншлиф бэлтгэл</t>
  </si>
  <si>
    <t>Анш</t>
  </si>
  <si>
    <t>ICP 30 элемент</t>
  </si>
  <si>
    <t>ICP 40 элемент</t>
  </si>
  <si>
    <t>Силикатын бүрэн шинжилгээ</t>
  </si>
  <si>
    <t>Буталгаа, протолочек (20кг)</t>
  </si>
  <si>
    <t>Буталгаа, силикат-цэглэн (2кг хүртэл-0.074мм)</t>
  </si>
  <si>
    <t>Буталгаа, геохими (0.5кг хүртэл-0.074мм)</t>
  </si>
  <si>
    <t>Лабораторийн ажлын дүн</t>
  </si>
  <si>
    <t>XIV</t>
  </si>
  <si>
    <t>2024 оны 08 дугаар сарын 1-нээс 08 дугаар сарын 31-ний өдөр хүртэл</t>
  </si>
  <si>
    <t>Үнэмлэхүй нас</t>
  </si>
  <si>
    <t xml:space="preserve">ХБАМ, хайрга </t>
  </si>
  <si>
    <t>ХБАМ, шавар</t>
  </si>
  <si>
    <t>ХБАМ, өнгөлгөөний чулуу</t>
  </si>
  <si>
    <t>Бусад сорьцлолт (Үр тоос, палеонтологи)</t>
  </si>
  <si>
    <t>Буталгаа, ховилон (1-10кг-0.074мм)</t>
  </si>
  <si>
    <t>Үнэмлэхүй насны дээжийн боловсруулалт /20кг/</t>
  </si>
  <si>
    <t xml:space="preserve">Бусад лабораторийн дүн </t>
  </si>
  <si>
    <t>2024 оны 09 дугаар сарын 1-нээс 09 дугаар сарын 30-ний өдөр хүртэл</t>
  </si>
  <si>
    <t>Литогеохими /тор/</t>
  </si>
  <si>
    <t>Ховилон /нүүрс/</t>
  </si>
  <si>
    <t>Гидрохимийн дээжлэлт</t>
  </si>
  <si>
    <t>ХБАМ, элс</t>
  </si>
  <si>
    <t>Эрлийн соронзон хайгуул</t>
  </si>
  <si>
    <t>Албадмал туйлшрал-ДГ</t>
  </si>
  <si>
    <t>Геофизикийн тээвэр</t>
  </si>
  <si>
    <t>ГЕОФИЗИКИЙН ДҮН</t>
  </si>
  <si>
    <t xml:space="preserve">Анги татан буулгалт </t>
  </si>
  <si>
    <t>Минерграфийн бич.хураангуй</t>
  </si>
  <si>
    <t>Усны бүрэн шинжилгээ</t>
  </si>
  <si>
    <t>Элсний бүрэн шинжилгээ</t>
  </si>
  <si>
    <t>Хайрганы шинжилгээ (сонголтоор)</t>
  </si>
  <si>
    <t>Шаврын бүрэн шинжилгээ (сонголтоор)</t>
  </si>
  <si>
    <t>Өнгөлгөөний чулуу /хураангуй/</t>
  </si>
  <si>
    <t>Нүүрсний чанарын шинжилгээ (сонголтоор)</t>
  </si>
  <si>
    <t>XV</t>
  </si>
  <si>
    <t>XVI</t>
  </si>
  <si>
    <t>Эрдсийн хураангуй шинжилгээ</t>
  </si>
  <si>
    <t>Фото зураг авах</t>
  </si>
  <si>
    <t>Палентологийн шинжилгээ (макро)</t>
  </si>
  <si>
    <t>зүйл</t>
  </si>
  <si>
    <t>2024 оны 10 дугаар сарын 1-нээс 10 дугаар сарын 31-ний өдөр хүртэл</t>
  </si>
  <si>
    <t>2024 оны 11 дугаар сарын 1-нээс 12 дугаар сарын 31-ний өдөр хүртэл</t>
  </si>
  <si>
    <t>АТ-поль-диполь</t>
  </si>
  <si>
    <t>Модаль шинжилгээ</t>
  </si>
  <si>
    <t>Алтны ААС</t>
  </si>
  <si>
    <t>Шаврын хөөлт</t>
  </si>
  <si>
    <t>Чанарын шинжилгээ /XRD/</t>
  </si>
  <si>
    <t>ГХЭ-ийн (16 элемент) шинжилгээ</t>
  </si>
  <si>
    <t>Гадаад хяналт, Петрографи</t>
  </si>
  <si>
    <t xml:space="preserve">Гадаад хяналт,  Минералоги </t>
  </si>
  <si>
    <t>ГМТөвд тайлан үзэх</t>
  </si>
  <si>
    <t>Хөрсний шинжилгээ (ICP20+Hg)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</si>
</sst>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44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164" fontId="0" fillId="0" borderId="0" xfId="7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3" fontId="0" fillId="3" borderId="0" xfId="0" applyNumberFormat="1" applyFont="1" applyFill="1"/>
    <xf numFmtId="167" fontId="7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164" fontId="12" fillId="0" borderId="3" xfId="7" applyFont="1" applyFill="1" applyBorder="1" applyAlignment="1">
      <alignment vertical="center" wrapText="1"/>
    </xf>
    <xf numFmtId="164" fontId="12" fillId="0" borderId="3" xfId="7" applyFont="1" applyFill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167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vertical="center" wrapText="1"/>
    </xf>
    <xf numFmtId="164" fontId="13" fillId="4" borderId="3" xfId="7" applyFont="1" applyFill="1" applyBorder="1" applyAlignment="1">
      <alignment horizontal="left" vertical="center" wrapText="1"/>
    </xf>
    <xf numFmtId="164" fontId="12" fillId="4" borderId="3" xfId="7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166" fontId="8" fillId="4" borderId="3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7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4" fontId="14" fillId="0" borderId="3" xfId="7" applyFont="1" applyFill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3" borderId="0" xfId="7" applyFont="1" applyFill="1"/>
    <xf numFmtId="3" fontId="8" fillId="2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/>
    </xf>
    <xf numFmtId="164" fontId="0" fillId="0" borderId="0" xfId="7" applyFont="1" applyFill="1"/>
    <xf numFmtId="166" fontId="11" fillId="0" borderId="4" xfId="7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2" fillId="0" borderId="3" xfId="7" applyFont="1" applyFill="1" applyBorder="1" applyAlignment="1">
      <alignment horizontal="left" vertical="center" wrapText="1"/>
    </xf>
    <xf numFmtId="167" fontId="7" fillId="0" borderId="3" xfId="7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67" fontId="0" fillId="0" borderId="3" xfId="7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vertical="center" wrapText="1"/>
    </xf>
    <xf numFmtId="164" fontId="2" fillId="0" borderId="3" xfId="7" applyFont="1" applyFill="1" applyBorder="1" applyAlignment="1">
      <alignment vertical="center" wrapText="1"/>
    </xf>
    <xf numFmtId="164" fontId="2" fillId="0" borderId="3" xfId="7" applyFont="1" applyFill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7" applyFont="1" applyFill="1" applyBorder="1" applyAlignment="1">
      <alignment horizontal="left" vertical="center" wrapText="1"/>
    </xf>
    <xf numFmtId="164" fontId="16" fillId="4" borderId="3" xfId="7" applyFont="1" applyFill="1" applyBorder="1" applyAlignment="1">
      <alignment horizontal="left" vertical="center" wrapText="1"/>
    </xf>
    <xf numFmtId="164" fontId="2" fillId="4" borderId="3" xfId="7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166" fontId="17" fillId="0" borderId="3" xfId="7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166" fontId="17" fillId="0" borderId="3" xfId="7" applyNumberFormat="1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166" fontId="18" fillId="2" borderId="3" xfId="7" applyNumberFormat="1" applyFont="1" applyFill="1" applyBorder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/>
    </xf>
    <xf numFmtId="166" fontId="18" fillId="4" borderId="3" xfId="7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/>
    </xf>
    <xf numFmtId="166" fontId="20" fillId="0" borderId="3" xfId="7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167" fontId="21" fillId="0" borderId="3" xfId="7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164" fontId="6" fillId="0" borderId="0" xfId="7" applyFont="1" applyAlignment="1">
      <alignment horizontal="center"/>
    </xf>
    <xf numFmtId="164" fontId="0" fillId="0" borderId="0" xfId="7" applyFont="1" applyAlignment="1">
      <alignment horizontal="right"/>
    </xf>
    <xf numFmtId="164" fontId="17" fillId="0" borderId="3" xfId="7" applyFont="1" applyBorder="1" applyAlignment="1">
      <alignment horizontal="center" vertical="center"/>
    </xf>
    <xf numFmtId="164" fontId="17" fillId="4" borderId="3" xfId="7" applyFont="1" applyFill="1" applyBorder="1" applyAlignment="1">
      <alignment horizontal="center" vertical="center"/>
    </xf>
    <xf numFmtId="164" fontId="18" fillId="4" borderId="3" xfId="7" applyFont="1" applyFill="1" applyBorder="1" applyAlignment="1">
      <alignment horizontal="center" vertical="center"/>
    </xf>
    <xf numFmtId="164" fontId="17" fillId="0" borderId="3" xfId="7" applyFont="1" applyFill="1" applyBorder="1" applyAlignment="1">
      <alignment horizontal="center" vertical="center"/>
    </xf>
    <xf numFmtId="164" fontId="17" fillId="0" borderId="3" xfId="7" applyFont="1" applyBorder="1" applyAlignment="1">
      <alignment horizontal="right" vertical="center"/>
    </xf>
    <xf numFmtId="164" fontId="18" fillId="2" borderId="3" xfId="7" applyFont="1" applyFill="1" applyBorder="1" applyAlignment="1">
      <alignment horizontal="right" vertical="center"/>
    </xf>
    <xf numFmtId="164" fontId="17" fillId="0" borderId="3" xfId="7" applyFont="1" applyFill="1" applyBorder="1" applyAlignment="1">
      <alignment horizontal="right" vertical="center"/>
    </xf>
    <xf numFmtId="164" fontId="17" fillId="4" borderId="3" xfId="7" applyFont="1" applyFill="1" applyBorder="1" applyAlignment="1">
      <alignment horizontal="right" vertical="center"/>
    </xf>
    <xf numFmtId="164" fontId="18" fillId="4" borderId="3" xfId="7" applyFont="1" applyFill="1" applyBorder="1" applyAlignment="1">
      <alignment horizontal="right" vertical="center"/>
    </xf>
    <xf numFmtId="164" fontId="18" fillId="2" borderId="3" xfId="7" applyFont="1" applyFill="1" applyBorder="1" applyAlignment="1">
      <alignment horizontal="center" vertical="center"/>
    </xf>
    <xf numFmtId="164" fontId="20" fillId="0" borderId="4" xfId="7" applyFont="1" applyFill="1" applyBorder="1" applyAlignment="1">
      <alignment horizontal="right" vertical="center"/>
    </xf>
    <xf numFmtId="164" fontId="18" fillId="0" borderId="3" xfId="7" applyFont="1" applyFill="1" applyBorder="1" applyAlignment="1">
      <alignment horizontal="right" vertical="center"/>
    </xf>
    <xf numFmtId="164" fontId="0" fillId="0" borderId="0" xfId="7" applyFont="1" applyAlignment="1">
      <alignment horizontal="left"/>
    </xf>
    <xf numFmtId="164" fontId="0" fillId="0" borderId="0" xfId="7" applyFont="1" applyAlignment="1"/>
    <xf numFmtId="49" fontId="17" fillId="0" borderId="3" xfId="7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64" fontId="18" fillId="0" borderId="3" xfId="7" applyFont="1" applyBorder="1" applyAlignment="1">
      <alignment horizontal="center" vertical="center"/>
    </xf>
    <xf numFmtId="49" fontId="17" fillId="0" borderId="3" xfId="7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3" fontId="17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167" fontId="0" fillId="0" borderId="0" xfId="0" applyNumberFormat="1" applyFont="1"/>
    <xf numFmtId="167" fontId="0" fillId="0" borderId="0" xfId="7" applyNumberFormat="1" applyFont="1"/>
    <xf numFmtId="0" fontId="14" fillId="0" borderId="3" xfId="0" applyFont="1" applyBorder="1" applyAlignment="1">
      <alignment horizontal="left" vertical="center" wrapText="1"/>
    </xf>
    <xf numFmtId="167" fontId="17" fillId="0" borderId="3" xfId="7" applyNumberFormat="1" applyFont="1" applyFill="1" applyBorder="1" applyAlignment="1">
      <alignment horizontal="right" vertical="center"/>
    </xf>
    <xf numFmtId="167" fontId="18" fillId="4" borderId="3" xfId="7" applyNumberFormat="1" applyFont="1" applyFill="1" applyBorder="1" applyAlignment="1">
      <alignment horizontal="right" vertical="center"/>
    </xf>
    <xf numFmtId="167" fontId="18" fillId="0" borderId="3" xfId="7" applyNumberFormat="1" applyFont="1" applyFill="1" applyBorder="1" applyAlignment="1">
      <alignment horizontal="right" vertical="center"/>
    </xf>
    <xf numFmtId="167" fontId="18" fillId="2" borderId="3" xfId="7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3" xfId="7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/>
    </xf>
    <xf numFmtId="0" fontId="2" fillId="0" borderId="3" xfId="7" applyNumberFormat="1" applyFont="1" applyFill="1" applyBorder="1" applyAlignment="1">
      <alignment horizontal="center" vertical="center" wrapText="1"/>
    </xf>
    <xf numFmtId="0" fontId="17" fillId="0" borderId="3" xfId="7" applyNumberFormat="1" applyFont="1" applyBorder="1" applyAlignment="1">
      <alignment horizontal="center" vertic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23"/>
      <c r="C8" s="23"/>
      <c r="D8" s="23"/>
      <c r="F8" s="23" t="s">
        <v>17</v>
      </c>
    </row>
    <row r="9" spans="1:8">
      <c r="B9" s="23"/>
      <c r="C9" s="23"/>
      <c r="D9" s="23"/>
      <c r="E9" s="23"/>
      <c r="F9" s="23"/>
    </row>
    <row r="10" spans="1:8">
      <c r="A10" s="225" t="s">
        <v>33</v>
      </c>
      <c r="B10" s="225"/>
      <c r="C10" s="225"/>
      <c r="D10" s="225"/>
      <c r="E10" s="225"/>
      <c r="F10" s="225"/>
      <c r="G10" s="225"/>
      <c r="H10" s="225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4" spans="1:8">
      <c r="A14" s="228" t="s">
        <v>11</v>
      </c>
      <c r="B14" s="228" t="s">
        <v>1</v>
      </c>
      <c r="C14" s="229" t="s">
        <v>7</v>
      </c>
      <c r="D14" s="229" t="s">
        <v>8</v>
      </c>
      <c r="E14" s="231" t="s">
        <v>9</v>
      </c>
      <c r="F14" s="231"/>
      <c r="G14" s="231" t="s">
        <v>10</v>
      </c>
      <c r="H14" s="231"/>
    </row>
    <row r="15" spans="1:8">
      <c r="A15" s="228"/>
      <c r="B15" s="228"/>
      <c r="C15" s="230"/>
      <c r="D15" s="230"/>
      <c r="E15" s="22" t="s">
        <v>2</v>
      </c>
      <c r="F15" s="22" t="s">
        <v>0</v>
      </c>
      <c r="G15" s="22" t="s">
        <v>2</v>
      </c>
      <c r="H15" s="22" t="s">
        <v>0</v>
      </c>
    </row>
    <row r="16" spans="1:8">
      <c r="A16" s="22">
        <v>0</v>
      </c>
      <c r="B16" s="22">
        <v>1</v>
      </c>
      <c r="C16" s="21">
        <v>2</v>
      </c>
      <c r="D16" s="21">
        <v>3</v>
      </c>
      <c r="E16" s="22">
        <v>4</v>
      </c>
      <c r="F16" s="22">
        <v>5</v>
      </c>
      <c r="G16" s="22">
        <v>6</v>
      </c>
      <c r="H16" s="22">
        <v>7</v>
      </c>
    </row>
    <row r="17" spans="1:10">
      <c r="A17" s="22"/>
      <c r="B17" s="8" t="s">
        <v>25</v>
      </c>
      <c r="C17" s="22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f>+E17</f>
        <v>220</v>
      </c>
      <c r="H17" s="9">
        <f t="shared" ref="H17" si="1">G17*D17</f>
        <v>14410000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14410000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14410000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f t="shared" si="2"/>
        <v>1</v>
      </c>
      <c r="H20" s="16">
        <f t="shared" ref="H20" si="5">+G20*D20</f>
        <v>650000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15060000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 t="shared" ref="F25" si="7">+F23*0.1+F24*0.1</f>
        <v>1506000</v>
      </c>
      <c r="G25" s="13"/>
      <c r="H25" s="13">
        <f>+H23*0.1+H24*0.1</f>
        <v>1506000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 t="shared" ref="H26" si="8">SUM(H23:H25)</f>
        <v>16566000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27"/>
      <c r="G28" s="227"/>
    </row>
    <row r="29" spans="1:10">
      <c r="B29" s="27" t="s">
        <v>35</v>
      </c>
      <c r="E29" s="29" t="s">
        <v>36</v>
      </c>
      <c r="F29" s="28"/>
      <c r="G29" s="28"/>
    </row>
    <row r="30" spans="1:10">
      <c r="B30" s="19"/>
      <c r="F30" s="20"/>
      <c r="G30" s="20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20"/>
      <c r="G32" s="20"/>
    </row>
    <row r="33" spans="2:7">
      <c r="B33" s="31" t="s">
        <v>40</v>
      </c>
      <c r="C33" s="3"/>
      <c r="D33" s="3"/>
      <c r="E33" s="29" t="s">
        <v>38</v>
      </c>
      <c r="F33" s="20"/>
      <c r="G33" s="20"/>
    </row>
    <row r="34" spans="2:7">
      <c r="B34" s="4"/>
      <c r="C34" s="3"/>
      <c r="D34" s="3"/>
      <c r="E34" s="3"/>
      <c r="F34" s="20"/>
      <c r="G34" s="20"/>
    </row>
    <row r="35" spans="2:7">
      <c r="B35" s="4" t="s">
        <v>41</v>
      </c>
      <c r="F35" s="20"/>
      <c r="G35" s="20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D5A7-0BB1-4B3D-B7B5-FA698E7F4F18}">
  <dimension ref="C1:O109"/>
  <sheetViews>
    <sheetView topLeftCell="A16" workbookViewId="0">
      <selection activeCell="A31" sqref="A31:XFD31"/>
    </sheetView>
  </sheetViews>
  <sheetFormatPr defaultColWidth="9" defaultRowHeight="13.8"/>
  <cols>
    <col min="1" max="1" width="2.2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3" width="11.69921875" style="7" customWidth="1"/>
    <col min="14" max="14" width="12.59765625" style="7" bestFit="1" customWidth="1"/>
    <col min="15" max="15" width="14" style="7" customWidth="1"/>
    <col min="16" max="16384" width="9" style="7"/>
  </cols>
  <sheetData>
    <row r="1" spans="3:10">
      <c r="C1" s="225" t="s">
        <v>13</v>
      </c>
      <c r="D1" s="225"/>
      <c r="E1" s="225"/>
      <c r="F1" s="225"/>
      <c r="G1" s="225"/>
      <c r="H1" s="225"/>
      <c r="I1" s="225"/>
      <c r="J1" s="225"/>
    </row>
    <row r="2" spans="3:10">
      <c r="C2" s="225" t="s">
        <v>14</v>
      </c>
      <c r="D2" s="225"/>
      <c r="E2" s="225"/>
      <c r="F2" s="225"/>
      <c r="G2" s="225"/>
      <c r="H2" s="225"/>
      <c r="I2" s="225"/>
      <c r="J2" s="225"/>
    </row>
    <row r="3" spans="3:10">
      <c r="C3" s="225" t="s">
        <v>15</v>
      </c>
      <c r="D3" s="225"/>
      <c r="E3" s="225"/>
      <c r="F3" s="225"/>
      <c r="G3" s="225"/>
      <c r="H3" s="225"/>
      <c r="I3" s="225"/>
      <c r="J3" s="225"/>
    </row>
    <row r="6" spans="3:10">
      <c r="D6" s="226" t="s">
        <v>16</v>
      </c>
      <c r="E6" s="226"/>
      <c r="F6" s="226"/>
      <c r="G6" s="226"/>
      <c r="H6" s="226"/>
      <c r="I6" s="226"/>
      <c r="J6" s="226"/>
    </row>
    <row r="7" spans="3:10">
      <c r="D7" s="226" t="s">
        <v>12</v>
      </c>
      <c r="E7" s="226"/>
      <c r="F7" s="226"/>
      <c r="G7" s="226"/>
      <c r="H7" s="226"/>
      <c r="I7" s="226"/>
      <c r="J7" s="226"/>
    </row>
    <row r="8" spans="3:10">
      <c r="D8" s="211"/>
      <c r="E8" s="211"/>
      <c r="F8" s="211"/>
      <c r="H8" s="189" t="s">
        <v>17</v>
      </c>
    </row>
    <row r="9" spans="3:10">
      <c r="D9" s="211"/>
      <c r="E9" s="211"/>
      <c r="F9" s="211"/>
      <c r="G9" s="189"/>
      <c r="H9" s="189"/>
    </row>
    <row r="10" spans="3:10">
      <c r="C10" s="225" t="s">
        <v>146</v>
      </c>
      <c r="D10" s="225"/>
      <c r="E10" s="225"/>
      <c r="F10" s="225"/>
      <c r="G10" s="225"/>
      <c r="H10" s="225"/>
      <c r="I10" s="225"/>
      <c r="J10" s="225"/>
    </row>
    <row r="11" spans="3:10">
      <c r="C11" s="210"/>
      <c r="D11" s="210"/>
      <c r="E11" s="210"/>
      <c r="F11" s="210"/>
      <c r="G11" s="190"/>
      <c r="H11" s="190"/>
      <c r="J11" s="190"/>
    </row>
    <row r="12" spans="3:10">
      <c r="C12" s="225" t="s">
        <v>18</v>
      </c>
      <c r="D12" s="225"/>
      <c r="E12" s="225"/>
      <c r="F12" s="225"/>
      <c r="G12" s="225"/>
      <c r="H12" s="225"/>
      <c r="I12" s="225"/>
      <c r="J12" s="225"/>
    </row>
    <row r="13" spans="3:10" ht="21.6" customHeight="1">
      <c r="C13" s="237" t="s">
        <v>11</v>
      </c>
      <c r="D13" s="237" t="s">
        <v>1</v>
      </c>
      <c r="E13" s="238" t="s">
        <v>7</v>
      </c>
      <c r="F13" s="238" t="s">
        <v>8</v>
      </c>
      <c r="G13" s="240" t="s">
        <v>9</v>
      </c>
      <c r="H13" s="240"/>
      <c r="I13" s="240" t="s">
        <v>10</v>
      </c>
      <c r="J13" s="240"/>
    </row>
    <row r="14" spans="3:10">
      <c r="C14" s="237"/>
      <c r="D14" s="237"/>
      <c r="E14" s="239"/>
      <c r="F14" s="239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55</v>
      </c>
      <c r="H19" s="191">
        <f>+G19*F19</f>
        <v>187000</v>
      </c>
      <c r="I19" s="191">
        <v>911</v>
      </c>
      <c r="J19" s="191">
        <f>+I19*F19</f>
        <v>3097400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187000</v>
      </c>
      <c r="I21" s="193"/>
      <c r="J21" s="193">
        <f t="shared" ref="J21" si="1">SUM(J18:J20)</f>
        <v>10905400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>
        <v>2</v>
      </c>
      <c r="H28" s="194">
        <f>+G28*F28</f>
        <v>20600</v>
      </c>
      <c r="I28" s="194">
        <v>37</v>
      </c>
      <c r="J28" s="191">
        <f t="shared" si="5"/>
        <v>381100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14</v>
      </c>
      <c r="H30" s="191">
        <f t="shared" si="6"/>
        <v>119000</v>
      </c>
      <c r="I30" s="194">
        <v>19</v>
      </c>
      <c r="J30" s="191">
        <f>+I30*F30</f>
        <v>161500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>
        <v>26</v>
      </c>
      <c r="H32" s="191">
        <f t="shared" si="6"/>
        <v>119600</v>
      </c>
      <c r="I32" s="194">
        <v>38</v>
      </c>
      <c r="J32" s="191">
        <f t="shared" si="7"/>
        <v>174800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257</v>
      </c>
      <c r="J33" s="191">
        <f>+I33*F33</f>
        <v>1413500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37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/>
      <c r="H36" s="191">
        <f t="shared" si="9"/>
        <v>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/>
      <c r="H37" s="191">
        <f t="shared" si="9"/>
        <v>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>+I38*F38</f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>+I39*F39</f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>+I40*F40</f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>+I41*F41</f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>+I42*F42</f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402200</v>
      </c>
      <c r="I43" s="193"/>
      <c r="J43" s="193">
        <f>SUM(J27:J42)</f>
        <v>5443500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589200</v>
      </c>
      <c r="I44" s="193"/>
      <c r="J44" s="193">
        <f>+J43+J21+J26</f>
        <v>23356900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/>
      <c r="H45" s="194">
        <f>+F45*G45</f>
        <v>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/>
      <c r="H46" s="194">
        <f t="shared" ref="H46:H47" si="10">+F46*G46</f>
        <v>0</v>
      </c>
      <c r="I46" s="194">
        <v>74</v>
      </c>
      <c r="J46" s="194">
        <f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/>
      <c r="H47" s="194">
        <f t="shared" si="10"/>
        <v>0</v>
      </c>
      <c r="I47" s="194">
        <v>4270</v>
      </c>
      <c r="J47" s="194">
        <f>+F47*I47</f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0</v>
      </c>
      <c r="I48" s="193"/>
      <c r="J48" s="193">
        <f t="shared" ref="J48" si="11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2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/>
      <c r="H50" s="195">
        <f t="shared" si="12"/>
        <v>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/>
      <c r="H51" s="195">
        <f>+G51*F51</f>
        <v>0</v>
      </c>
      <c r="I51" s="191">
        <v>3230</v>
      </c>
      <c r="J51" s="195">
        <f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>
        <v>105</v>
      </c>
      <c r="H52" s="195">
        <f t="shared" si="12"/>
        <v>6877500</v>
      </c>
      <c r="I52" s="191">
        <v>1045</v>
      </c>
      <c r="J52" s="195">
        <f>I52*F52</f>
        <v>68447500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6877500</v>
      </c>
      <c r="I53" s="196"/>
      <c r="J53" s="196">
        <f>+J51+J52+J50+J49</f>
        <v>108142500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/>
      <c r="H54" s="197">
        <f>+G54*F54</f>
        <v>0</v>
      </c>
      <c r="I54" s="194">
        <v>9065</v>
      </c>
      <c r="J54" s="197">
        <f>+I54*F54</f>
        <v>8611750</v>
      </c>
      <c r="K54" s="37">
        <v>9633</v>
      </c>
      <c r="L54" s="38">
        <v>568</v>
      </c>
      <c r="M54" s="217">
        <f>+L54*F54</f>
        <v>539600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/>
      <c r="H55" s="197">
        <f t="shared" ref="H55:H57" si="13">+G55*F55</f>
        <v>0</v>
      </c>
      <c r="I55" s="194">
        <v>7468.2407999999996</v>
      </c>
      <c r="J55" s="197">
        <f>+I55*F55</f>
        <v>7841652.8399999999</v>
      </c>
      <c r="K55" s="37">
        <v>9927.2000000000007</v>
      </c>
      <c r="L55" s="38">
        <v>2459.2399999999998</v>
      </c>
      <c r="M55" s="217">
        <f>+L55*F55</f>
        <v>2582202</v>
      </c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/>
      <c r="H56" s="197">
        <f t="shared" si="13"/>
        <v>0</v>
      </c>
      <c r="I56" s="194">
        <v>780</v>
      </c>
      <c r="J56" s="197">
        <f>+I56*F56</f>
        <v>858000</v>
      </c>
      <c r="K56" s="37">
        <v>780</v>
      </c>
      <c r="L56" s="38"/>
      <c r="M56" s="217">
        <f>SUM(M54:M55)</f>
        <v>3121802</v>
      </c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/>
      <c r="H57" s="197">
        <f t="shared" si="13"/>
        <v>0</v>
      </c>
      <c r="I57" s="194">
        <v>4260</v>
      </c>
      <c r="J57" s="197">
        <f>+I57*F57</f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0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7466700</v>
      </c>
      <c r="I59" s="199"/>
      <c r="J59" s="199">
        <f>+J58+J53+J44+J17+J48</f>
        <v>201579302.84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4">+G61*F61</f>
        <v>0</v>
      </c>
      <c r="I61" s="194">
        <v>1</v>
      </c>
      <c r="J61" s="197">
        <f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4"/>
        <v>650000</v>
      </c>
      <c r="I62" s="194">
        <v>10</v>
      </c>
      <c r="J62" s="197">
        <f>+I62*F62</f>
        <v>6500000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5">SUM(J60:J62)</f>
        <v>6990536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 t="shared" ref="J64:J76" si="16">+I64*F64</f>
        <v>1182150</v>
      </c>
      <c r="K64" s="7"/>
      <c r="L64" s="37"/>
      <c r="O64" s="62"/>
    </row>
    <row r="65" spans="3:15">
      <c r="C65" s="172"/>
      <c r="D65" s="141" t="s">
        <v>142</v>
      </c>
      <c r="E65" s="142" t="s">
        <v>67</v>
      </c>
      <c r="F65" s="143">
        <v>22500</v>
      </c>
      <c r="G65" s="201">
        <v>14</v>
      </c>
      <c r="H65" s="201">
        <f>+G65*F65</f>
        <v>315000</v>
      </c>
      <c r="I65" s="201">
        <v>14</v>
      </c>
      <c r="J65" s="201">
        <f t="shared" si="16"/>
        <v>315000</v>
      </c>
      <c r="K65" s="7"/>
      <c r="L65" s="37"/>
      <c r="O65" s="62"/>
    </row>
    <row r="66" spans="3:15">
      <c r="C66" s="172"/>
      <c r="D66" s="141" t="s">
        <v>101</v>
      </c>
      <c r="E66" s="142" t="s">
        <v>67</v>
      </c>
      <c r="F66" s="143">
        <f>36000*90%</f>
        <v>32400</v>
      </c>
      <c r="G66" s="201"/>
      <c r="H66" s="201">
        <f t="shared" ref="H66:H75" si="17">+G66*F66</f>
        <v>0</v>
      </c>
      <c r="I66" s="201">
        <v>165</v>
      </c>
      <c r="J66" s="201">
        <f t="shared" si="16"/>
        <v>5346000</v>
      </c>
      <c r="K66" s="7"/>
      <c r="L66" s="37"/>
      <c r="O66" s="62"/>
    </row>
    <row r="67" spans="3:15">
      <c r="C67" s="172"/>
      <c r="D67" s="141" t="s">
        <v>102</v>
      </c>
      <c r="E67" s="142" t="s">
        <v>103</v>
      </c>
      <c r="F67" s="143">
        <f>16000*90%</f>
        <v>14400</v>
      </c>
      <c r="G67" s="201"/>
      <c r="H67" s="201">
        <f t="shared" si="17"/>
        <v>0</v>
      </c>
      <c r="I67" s="201">
        <v>165</v>
      </c>
      <c r="J67" s="201">
        <f t="shared" si="16"/>
        <v>2376000</v>
      </c>
      <c r="K67" s="7"/>
      <c r="L67" s="37"/>
      <c r="O67" s="62"/>
    </row>
    <row r="68" spans="3:15">
      <c r="C68" s="172"/>
      <c r="D68" s="141" t="s">
        <v>133</v>
      </c>
      <c r="E68" s="142" t="s">
        <v>67</v>
      </c>
      <c r="F68" s="143">
        <f>36000*90%</f>
        <v>32400</v>
      </c>
      <c r="G68" s="201">
        <v>4</v>
      </c>
      <c r="H68" s="201">
        <f t="shared" si="17"/>
        <v>129600</v>
      </c>
      <c r="I68" s="201">
        <v>19</v>
      </c>
      <c r="J68" s="201">
        <f t="shared" si="16"/>
        <v>615600</v>
      </c>
      <c r="K68" s="7"/>
      <c r="L68" s="37"/>
      <c r="O68" s="62"/>
    </row>
    <row r="69" spans="3:15">
      <c r="C69" s="172"/>
      <c r="D69" s="141" t="s">
        <v>104</v>
      </c>
      <c r="E69" s="142" t="s">
        <v>105</v>
      </c>
      <c r="F69" s="143">
        <f>16000*90%</f>
        <v>14400</v>
      </c>
      <c r="G69" s="201">
        <v>4</v>
      </c>
      <c r="H69" s="201">
        <f t="shared" si="17"/>
        <v>57600</v>
      </c>
      <c r="I69" s="201">
        <v>20</v>
      </c>
      <c r="J69" s="201">
        <f t="shared" si="16"/>
        <v>288000</v>
      </c>
      <c r="L69" s="37"/>
      <c r="O69" s="62"/>
    </row>
    <row r="70" spans="3:15">
      <c r="C70" s="172"/>
      <c r="D70" s="141" t="s">
        <v>143</v>
      </c>
      <c r="E70" s="142" t="s">
        <v>57</v>
      </c>
      <c r="F70" s="143">
        <v>18000</v>
      </c>
      <c r="G70" s="201">
        <v>4</v>
      </c>
      <c r="H70" s="201">
        <f t="shared" si="17"/>
        <v>72000</v>
      </c>
      <c r="I70" s="201">
        <v>4</v>
      </c>
      <c r="J70" s="201">
        <f t="shared" si="16"/>
        <v>72000</v>
      </c>
      <c r="L70" s="37"/>
      <c r="O70" s="62"/>
    </row>
    <row r="71" spans="3:15">
      <c r="C71" s="172"/>
      <c r="D71" s="141" t="s">
        <v>106</v>
      </c>
      <c r="E71" s="142" t="s">
        <v>67</v>
      </c>
      <c r="F71" s="143">
        <f>25000*0.9</f>
        <v>22500</v>
      </c>
      <c r="G71" s="197">
        <v>38</v>
      </c>
      <c r="H71" s="201">
        <f t="shared" si="17"/>
        <v>855000</v>
      </c>
      <c r="I71" s="201">
        <v>911</v>
      </c>
      <c r="J71" s="201">
        <f t="shared" si="16"/>
        <v>20497500</v>
      </c>
      <c r="O71" s="62"/>
    </row>
    <row r="72" spans="3:15">
      <c r="C72" s="172"/>
      <c r="D72" s="141" t="s">
        <v>107</v>
      </c>
      <c r="E72" s="142" t="s">
        <v>67</v>
      </c>
      <c r="F72" s="143">
        <f>30000*90%</f>
        <v>27000</v>
      </c>
      <c r="G72" s="197">
        <v>76</v>
      </c>
      <c r="H72" s="201">
        <f t="shared" si="17"/>
        <v>2052000</v>
      </c>
      <c r="I72" s="201">
        <v>728</v>
      </c>
      <c r="J72" s="201">
        <f t="shared" si="16"/>
        <v>19656000</v>
      </c>
      <c r="O72" s="62"/>
    </row>
    <row r="73" spans="3:15">
      <c r="C73" s="172"/>
      <c r="D73" s="141" t="s">
        <v>108</v>
      </c>
      <c r="E73" s="142" t="s">
        <v>67</v>
      </c>
      <c r="F73" s="143">
        <f>(32000+40000+16000)*0.9</f>
        <v>79200</v>
      </c>
      <c r="G73" s="197"/>
      <c r="H73" s="201">
        <f t="shared" si="17"/>
        <v>0</v>
      </c>
      <c r="I73" s="201">
        <v>50</v>
      </c>
      <c r="J73" s="201">
        <f t="shared" si="16"/>
        <v>3960000</v>
      </c>
      <c r="O73" s="62"/>
    </row>
    <row r="74" spans="3:15">
      <c r="C74" s="172"/>
      <c r="D74" s="183" t="s">
        <v>120</v>
      </c>
      <c r="E74" s="184" t="s">
        <v>67</v>
      </c>
      <c r="F74" s="185">
        <f>29000*90%</f>
        <v>26100</v>
      </c>
      <c r="G74" s="197">
        <v>13</v>
      </c>
      <c r="H74" s="201">
        <f t="shared" si="17"/>
        <v>339300</v>
      </c>
      <c r="I74" s="201">
        <v>73</v>
      </c>
      <c r="J74" s="201">
        <f t="shared" si="16"/>
        <v>1905300</v>
      </c>
      <c r="O74" s="62"/>
    </row>
    <row r="75" spans="3:15">
      <c r="C75" s="172"/>
      <c r="D75" s="141" t="s">
        <v>109</v>
      </c>
      <c r="E75" s="142" t="s">
        <v>67</v>
      </c>
      <c r="F75" s="143">
        <f>36000*0.9</f>
        <v>32400</v>
      </c>
      <c r="G75" s="197"/>
      <c r="H75" s="201">
        <f t="shared" si="17"/>
        <v>0</v>
      </c>
      <c r="I75" s="201">
        <v>37</v>
      </c>
      <c r="J75" s="201">
        <f t="shared" si="16"/>
        <v>1198800</v>
      </c>
      <c r="O75" s="62"/>
    </row>
    <row r="76" spans="3:15">
      <c r="C76" s="172"/>
      <c r="D76" s="141" t="s">
        <v>110</v>
      </c>
      <c r="E76" s="142" t="s">
        <v>67</v>
      </c>
      <c r="F76" s="143">
        <f>9000*90%</f>
        <v>8100</v>
      </c>
      <c r="G76" s="197">
        <v>106</v>
      </c>
      <c r="H76" s="201">
        <f>+G76*F76</f>
        <v>858600</v>
      </c>
      <c r="I76" s="201">
        <v>292</v>
      </c>
      <c r="J76" s="201">
        <f t="shared" si="16"/>
        <v>2365200</v>
      </c>
      <c r="K76" s="37">
        <f>+H59*2%</f>
        <v>149334</v>
      </c>
      <c r="O76" s="62"/>
    </row>
    <row r="77" spans="3:15">
      <c r="C77" s="172"/>
      <c r="D77" s="141" t="s">
        <v>111</v>
      </c>
      <c r="E77" s="142" t="s">
        <v>67</v>
      </c>
      <c r="F77" s="143">
        <f>6000*90%</f>
        <v>5400</v>
      </c>
      <c r="G77" s="197">
        <v>53</v>
      </c>
      <c r="H77" s="201">
        <f>+G77*F77</f>
        <v>286200</v>
      </c>
      <c r="I77" s="201">
        <v>1340</v>
      </c>
      <c r="J77" s="201">
        <f t="shared" ref="J77:J84" si="18">+I77*F77</f>
        <v>7236000</v>
      </c>
      <c r="K77" s="37">
        <f>+H59-K76</f>
        <v>7317366</v>
      </c>
      <c r="O77" s="62"/>
    </row>
    <row r="78" spans="3:15">
      <c r="C78" s="172"/>
      <c r="D78" s="141" t="s">
        <v>121</v>
      </c>
      <c r="E78" s="142" t="s">
        <v>67</v>
      </c>
      <c r="F78" s="143">
        <v>105000</v>
      </c>
      <c r="G78" s="197">
        <v>2</v>
      </c>
      <c r="H78" s="201">
        <f>+G78*F78</f>
        <v>210000</v>
      </c>
      <c r="I78" s="201">
        <v>5</v>
      </c>
      <c r="J78" s="201">
        <f t="shared" si="18"/>
        <v>525000</v>
      </c>
      <c r="K78" s="37">
        <f>+K77+H90</f>
        <v>15249666</v>
      </c>
      <c r="O78" s="62"/>
    </row>
    <row r="79" spans="3:15">
      <c r="C79" s="172"/>
      <c r="D79" s="141" t="s">
        <v>134</v>
      </c>
      <c r="E79" s="142" t="s">
        <v>67</v>
      </c>
      <c r="F79" s="143">
        <f>70000*90%</f>
        <v>63000</v>
      </c>
      <c r="G79" s="197"/>
      <c r="H79" s="201">
        <f t="shared" ref="H79:H84" si="19">+G79*F79</f>
        <v>0</v>
      </c>
      <c r="I79" s="201">
        <v>40</v>
      </c>
      <c r="J79" s="201">
        <f t="shared" si="18"/>
        <v>2520000</v>
      </c>
      <c r="K79" s="37">
        <f>+K78*0.1</f>
        <v>1524966.6</v>
      </c>
      <c r="O79" s="62"/>
    </row>
    <row r="80" spans="3:15">
      <c r="C80" s="172"/>
      <c r="D80" s="206" t="s">
        <v>135</v>
      </c>
      <c r="E80" s="142" t="s">
        <v>67</v>
      </c>
      <c r="F80" s="143">
        <f>110000*0.9</f>
        <v>99000</v>
      </c>
      <c r="G80" s="197"/>
      <c r="H80" s="201">
        <f t="shared" si="19"/>
        <v>0</v>
      </c>
      <c r="I80" s="201">
        <v>2</v>
      </c>
      <c r="J80" s="201">
        <f t="shared" si="18"/>
        <v>198000</v>
      </c>
      <c r="K80" s="37">
        <f>+K79+K78</f>
        <v>16774632.6</v>
      </c>
      <c r="O80" s="62"/>
    </row>
    <row r="81" spans="3:15">
      <c r="C81" s="172"/>
      <c r="D81" s="206" t="s">
        <v>136</v>
      </c>
      <c r="E81" s="142" t="s">
        <v>67</v>
      </c>
      <c r="F81" s="143">
        <f>455000*0.9</f>
        <v>409500</v>
      </c>
      <c r="G81" s="197"/>
      <c r="H81" s="201">
        <f t="shared" si="19"/>
        <v>0</v>
      </c>
      <c r="I81" s="201">
        <v>2</v>
      </c>
      <c r="J81" s="201">
        <f t="shared" si="18"/>
        <v>819000</v>
      </c>
      <c r="O81" s="62"/>
    </row>
    <row r="82" spans="3:15">
      <c r="C82" s="172"/>
      <c r="D82" s="206" t="s">
        <v>137</v>
      </c>
      <c r="E82" s="142" t="s">
        <v>67</v>
      </c>
      <c r="F82" s="143">
        <f>510000*0.9</f>
        <v>459000</v>
      </c>
      <c r="G82" s="197"/>
      <c r="H82" s="201">
        <f t="shared" si="19"/>
        <v>0</v>
      </c>
      <c r="I82" s="201">
        <v>2</v>
      </c>
      <c r="J82" s="201">
        <f t="shared" si="18"/>
        <v>918000</v>
      </c>
      <c r="O82" s="62"/>
    </row>
    <row r="83" spans="3:15">
      <c r="C83" s="172"/>
      <c r="D83" s="206" t="s">
        <v>138</v>
      </c>
      <c r="E83" s="142" t="s">
        <v>67</v>
      </c>
      <c r="F83" s="143">
        <f>(140000+20000)*0.9</f>
        <v>144000</v>
      </c>
      <c r="G83" s="197"/>
      <c r="H83" s="201">
        <f t="shared" si="19"/>
        <v>0</v>
      </c>
      <c r="I83" s="201">
        <v>2</v>
      </c>
      <c r="J83" s="201">
        <f t="shared" si="18"/>
        <v>288000</v>
      </c>
      <c r="O83" s="62"/>
    </row>
    <row r="84" spans="3:15">
      <c r="C84" s="172"/>
      <c r="D84" s="141" t="s">
        <v>139</v>
      </c>
      <c r="E84" s="142" t="s">
        <v>67</v>
      </c>
      <c r="F84" s="143">
        <f>95000*0.9</f>
        <v>85500</v>
      </c>
      <c r="G84" s="197">
        <v>14</v>
      </c>
      <c r="H84" s="201">
        <f t="shared" si="19"/>
        <v>1197000</v>
      </c>
      <c r="I84" s="201">
        <v>19</v>
      </c>
      <c r="J84" s="201">
        <f t="shared" si="18"/>
        <v>1624500</v>
      </c>
      <c r="O84" s="62"/>
    </row>
    <row r="85" spans="3:15">
      <c r="C85" s="172"/>
      <c r="D85" s="141"/>
      <c r="E85" s="142"/>
      <c r="F85" s="143"/>
      <c r="G85" s="197"/>
      <c r="H85" s="201"/>
      <c r="I85" s="201"/>
      <c r="J85" s="201"/>
      <c r="O85" s="62"/>
    </row>
    <row r="86" spans="3:15">
      <c r="C86" s="167" t="s">
        <v>94</v>
      </c>
      <c r="D86" s="186" t="s">
        <v>112</v>
      </c>
      <c r="E86" s="172"/>
      <c r="F86" s="187"/>
      <c r="G86" s="202"/>
      <c r="H86" s="202">
        <f>SUM(H64:H84)</f>
        <v>6372300</v>
      </c>
      <c r="I86" s="202"/>
      <c r="J86" s="202">
        <f>SUM(J64:J84)</f>
        <v>73906050</v>
      </c>
      <c r="L86" s="38"/>
      <c r="O86" s="62"/>
    </row>
    <row r="87" spans="3:15">
      <c r="C87" s="167"/>
      <c r="D87" s="188" t="s">
        <v>144</v>
      </c>
      <c r="E87" s="156" t="s">
        <v>145</v>
      </c>
      <c r="F87" s="213">
        <v>65000</v>
      </c>
      <c r="G87" s="197">
        <v>14</v>
      </c>
      <c r="H87" s="197">
        <f>+G87*F87</f>
        <v>910000</v>
      </c>
      <c r="I87" s="197">
        <v>14</v>
      </c>
      <c r="J87" s="197">
        <f>+I87*F87</f>
        <v>910000</v>
      </c>
      <c r="O87" s="62"/>
    </row>
    <row r="88" spans="3:15">
      <c r="C88" s="172"/>
      <c r="D88" s="141" t="s">
        <v>115</v>
      </c>
      <c r="E88" s="142" t="s">
        <v>57</v>
      </c>
      <c r="F88" s="143">
        <v>2500000</v>
      </c>
      <c r="G88" s="197"/>
      <c r="H88" s="197">
        <f>+G88*F88</f>
        <v>0</v>
      </c>
      <c r="I88" s="197">
        <v>3</v>
      </c>
      <c r="J88" s="197">
        <f>+I88*F88</f>
        <v>7500000</v>
      </c>
      <c r="L88" s="37"/>
      <c r="M88" s="218"/>
      <c r="N88" s="218"/>
      <c r="O88" s="62"/>
    </row>
    <row r="89" spans="3:15">
      <c r="C89" s="167" t="s">
        <v>95</v>
      </c>
      <c r="D89" s="147" t="s">
        <v>122</v>
      </c>
      <c r="E89" s="142"/>
      <c r="F89" s="143"/>
      <c r="G89" s="197"/>
      <c r="H89" s="202">
        <f t="shared" ref="H89" si="20">+H88+H87</f>
        <v>910000</v>
      </c>
      <c r="I89" s="202"/>
      <c r="J89" s="202">
        <f>+J88+J87</f>
        <v>8410000</v>
      </c>
      <c r="L89" s="37"/>
      <c r="M89" s="218"/>
      <c r="N89" s="218"/>
      <c r="O89" s="62"/>
    </row>
    <row r="90" spans="3:15">
      <c r="C90" s="167" t="s">
        <v>96</v>
      </c>
      <c r="D90" s="182" t="s">
        <v>31</v>
      </c>
      <c r="E90" s="167"/>
      <c r="F90" s="171"/>
      <c r="G90" s="196"/>
      <c r="H90" s="196">
        <f>+H86+H63+H89</f>
        <v>7932300</v>
      </c>
      <c r="I90" s="196"/>
      <c r="J90" s="196">
        <f>+J86+J63+J89</f>
        <v>89306586</v>
      </c>
      <c r="L90" s="37"/>
      <c r="M90" s="217"/>
      <c r="N90" s="217"/>
      <c r="O90" s="62"/>
    </row>
    <row r="91" spans="3:15">
      <c r="C91" s="172"/>
      <c r="D91" s="188" t="s">
        <v>29</v>
      </c>
      <c r="E91" s="172"/>
      <c r="F91" s="187"/>
      <c r="G91" s="202"/>
      <c r="H91" s="197">
        <v>0</v>
      </c>
      <c r="I91" s="194"/>
      <c r="J91" s="197">
        <v>0</v>
      </c>
      <c r="K91" s="122"/>
      <c r="L91" s="39"/>
      <c r="M91" s="218"/>
      <c r="N91" s="218"/>
      <c r="O91" s="218"/>
    </row>
    <row r="92" spans="3:15">
      <c r="C92" s="167" t="s">
        <v>113</v>
      </c>
      <c r="D92" s="182" t="s">
        <v>32</v>
      </c>
      <c r="E92" s="167"/>
      <c r="F92" s="171"/>
      <c r="G92" s="196"/>
      <c r="H92" s="196">
        <f>H59+H90</f>
        <v>15399000</v>
      </c>
      <c r="I92" s="200"/>
      <c r="J92" s="196">
        <f>J59+J90</f>
        <v>290885888.84000003</v>
      </c>
      <c r="O92" s="63"/>
    </row>
    <row r="93" spans="3:15">
      <c r="C93" s="167" t="s">
        <v>140</v>
      </c>
      <c r="D93" s="182" t="s">
        <v>3</v>
      </c>
      <c r="E93" s="167"/>
      <c r="F93" s="171"/>
      <c r="G93" s="196"/>
      <c r="H93" s="196">
        <f>+H91*0.1+H92*0.1</f>
        <v>1539900</v>
      </c>
      <c r="I93" s="200"/>
      <c r="J93" s="196">
        <f>+J91*0.1+J92*0.1</f>
        <v>29088588.884000003</v>
      </c>
      <c r="N93" s="217"/>
      <c r="O93" s="61"/>
    </row>
    <row r="94" spans="3:15">
      <c r="C94" s="167" t="s">
        <v>141</v>
      </c>
      <c r="D94" s="182" t="s">
        <v>59</v>
      </c>
      <c r="E94" s="167"/>
      <c r="F94" s="171"/>
      <c r="G94" s="196"/>
      <c r="H94" s="196">
        <f>SUM(H91:H93)</f>
        <v>16938900</v>
      </c>
      <c r="I94" s="200"/>
      <c r="J94" s="196">
        <f>SUM(J91:J93)</f>
        <v>319974477.72400004</v>
      </c>
      <c r="O94" s="60"/>
    </row>
    <row r="95" spans="3:15">
      <c r="D95" s="4"/>
      <c r="N95" s="217"/>
      <c r="O95" s="61"/>
    </row>
    <row r="96" spans="3:15">
      <c r="D96" s="4" t="s">
        <v>34</v>
      </c>
      <c r="H96" s="236"/>
      <c r="I96" s="236"/>
    </row>
    <row r="97" spans="4:8">
      <c r="D97" s="210" t="s">
        <v>35</v>
      </c>
      <c r="G97" s="212" t="s">
        <v>36</v>
      </c>
      <c r="H97" s="204"/>
    </row>
    <row r="98" spans="4:8">
      <c r="D98" s="210"/>
      <c r="H98" s="212"/>
    </row>
    <row r="99" spans="4:8">
      <c r="D99" s="210" t="s">
        <v>51</v>
      </c>
      <c r="G99" s="212" t="s">
        <v>52</v>
      </c>
      <c r="H99" s="204"/>
    </row>
    <row r="100" spans="4:8">
      <c r="D100" s="210"/>
      <c r="G100" s="212"/>
      <c r="H100" s="212"/>
    </row>
    <row r="101" spans="4:8">
      <c r="D101" s="75" t="s">
        <v>40</v>
      </c>
      <c r="G101" s="212" t="s">
        <v>38</v>
      </c>
      <c r="H101" s="212"/>
    </row>
    <row r="102" spans="4:8">
      <c r="D102" s="4" t="s">
        <v>41</v>
      </c>
      <c r="H102" s="212"/>
    </row>
    <row r="104" spans="4:8">
      <c r="D104" s="7" t="s">
        <v>42</v>
      </c>
      <c r="G104" s="212" t="s">
        <v>43</v>
      </c>
    </row>
    <row r="106" spans="4:8">
      <c r="D106" s="4" t="s">
        <v>44</v>
      </c>
    </row>
    <row r="107" spans="4:8">
      <c r="D107" s="7" t="s">
        <v>45</v>
      </c>
      <c r="G107" s="212" t="s">
        <v>47</v>
      </c>
    </row>
    <row r="108" spans="4:8">
      <c r="G108" s="212"/>
    </row>
    <row r="109" spans="4:8">
      <c r="D109" s="7" t="s">
        <v>46</v>
      </c>
      <c r="G109" s="37" t="s">
        <v>48</v>
      </c>
    </row>
  </sheetData>
  <mergeCells count="14">
    <mergeCell ref="H96:I96"/>
    <mergeCell ref="C12:J12"/>
    <mergeCell ref="C13:C14"/>
    <mergeCell ref="D13:D14"/>
    <mergeCell ref="E13:E14"/>
    <mergeCell ref="F13:F14"/>
    <mergeCell ref="G13:H13"/>
    <mergeCell ref="I13:J13"/>
    <mergeCell ref="C10:J10"/>
    <mergeCell ref="C1:J1"/>
    <mergeCell ref="C2:J2"/>
    <mergeCell ref="C3:J3"/>
    <mergeCell ref="D6:J6"/>
    <mergeCell ref="D7:J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4BEF-D1F8-4726-BEF8-25A675ECC67E}">
  <dimension ref="C1:O119"/>
  <sheetViews>
    <sheetView tabSelected="1" workbookViewId="0">
      <selection activeCell="J19" sqref="J19"/>
    </sheetView>
  </sheetViews>
  <sheetFormatPr defaultColWidth="9" defaultRowHeight="13.8"/>
  <cols>
    <col min="1" max="1" width="2.2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11.3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3" width="11.69921875" style="7" customWidth="1"/>
    <col min="14" max="14" width="12.59765625" style="7" bestFit="1" customWidth="1"/>
    <col min="15" max="15" width="14" style="7" customWidth="1"/>
    <col min="16" max="16384" width="9" style="7"/>
  </cols>
  <sheetData>
    <row r="1" spans="3:10">
      <c r="C1" s="225" t="s">
        <v>13</v>
      </c>
      <c r="D1" s="225"/>
      <c r="E1" s="225"/>
      <c r="F1" s="225"/>
      <c r="G1" s="225"/>
      <c r="H1" s="225"/>
      <c r="I1" s="225"/>
      <c r="J1" s="225"/>
    </row>
    <row r="2" spans="3:10">
      <c r="C2" s="225" t="s">
        <v>14</v>
      </c>
      <c r="D2" s="225"/>
      <c r="E2" s="225"/>
      <c r="F2" s="225"/>
      <c r="G2" s="225"/>
      <c r="H2" s="225"/>
      <c r="I2" s="225"/>
      <c r="J2" s="225"/>
    </row>
    <row r="3" spans="3:10">
      <c r="C3" s="225" t="s">
        <v>15</v>
      </c>
      <c r="D3" s="225"/>
      <c r="E3" s="225"/>
      <c r="F3" s="225"/>
      <c r="G3" s="225"/>
      <c r="H3" s="225"/>
      <c r="I3" s="225"/>
      <c r="J3" s="225"/>
    </row>
    <row r="6" spans="3:10">
      <c r="D6" s="226" t="s">
        <v>16</v>
      </c>
      <c r="E6" s="226"/>
      <c r="F6" s="226"/>
      <c r="G6" s="226"/>
      <c r="H6" s="226"/>
      <c r="I6" s="226"/>
      <c r="J6" s="226"/>
    </row>
    <row r="7" spans="3:10">
      <c r="D7" s="226" t="s">
        <v>12</v>
      </c>
      <c r="E7" s="226"/>
      <c r="F7" s="226"/>
      <c r="G7" s="226"/>
      <c r="H7" s="226"/>
      <c r="I7" s="226"/>
      <c r="J7" s="226"/>
    </row>
    <row r="8" spans="3:10">
      <c r="D8" s="215"/>
      <c r="E8" s="215"/>
      <c r="F8" s="215"/>
      <c r="H8" s="189" t="s">
        <v>17</v>
      </c>
    </row>
    <row r="9" spans="3:10">
      <c r="D9" s="215"/>
      <c r="E9" s="215"/>
      <c r="F9" s="215"/>
      <c r="G9" s="189"/>
      <c r="H9" s="189"/>
    </row>
    <row r="10" spans="3:10">
      <c r="C10" s="225" t="s">
        <v>147</v>
      </c>
      <c r="D10" s="225"/>
      <c r="E10" s="225"/>
      <c r="F10" s="225"/>
      <c r="G10" s="225"/>
      <c r="H10" s="225"/>
      <c r="I10" s="225"/>
      <c r="J10" s="225"/>
    </row>
    <row r="11" spans="3:10">
      <c r="C11" s="214"/>
      <c r="D11" s="214"/>
      <c r="E11" s="214"/>
      <c r="F11" s="214"/>
      <c r="G11" s="190"/>
      <c r="H11" s="190"/>
      <c r="J11" s="190"/>
    </row>
    <row r="12" spans="3:10">
      <c r="C12" s="225" t="s">
        <v>18</v>
      </c>
      <c r="D12" s="225"/>
      <c r="E12" s="225"/>
      <c r="F12" s="225"/>
      <c r="G12" s="225"/>
      <c r="H12" s="225"/>
      <c r="I12" s="225"/>
      <c r="J12" s="225"/>
    </row>
    <row r="13" spans="3:10" ht="21.6" customHeight="1">
      <c r="C13" s="237" t="s">
        <v>11</v>
      </c>
      <c r="D13" s="237" t="s">
        <v>1</v>
      </c>
      <c r="E13" s="238" t="s">
        <v>7</v>
      </c>
      <c r="F13" s="238" t="s">
        <v>8</v>
      </c>
      <c r="G13" s="240" t="s">
        <v>9</v>
      </c>
      <c r="H13" s="240"/>
      <c r="I13" s="240" t="s">
        <v>10</v>
      </c>
      <c r="J13" s="240"/>
    </row>
    <row r="14" spans="3:10">
      <c r="C14" s="237"/>
      <c r="D14" s="237"/>
      <c r="E14" s="239"/>
      <c r="F14" s="239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>
        <v>60</v>
      </c>
      <c r="H18" s="191">
        <f>+G18*F18</f>
        <v>2304000</v>
      </c>
      <c r="I18" s="191">
        <v>105</v>
      </c>
      <c r="J18" s="191">
        <f>+I18*F18</f>
        <v>4032000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29</v>
      </c>
      <c r="H19" s="191">
        <f>+G19*F19</f>
        <v>98600</v>
      </c>
      <c r="I19" s="191">
        <v>940</v>
      </c>
      <c r="J19" s="191">
        <f>+I19*F19</f>
        <v>3196000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2402600</v>
      </c>
      <c r="I21" s="193"/>
      <c r="J21" s="193">
        <f t="shared" ref="J21" si="1">SUM(J18:J20)</f>
        <v>13308000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>
        <v>97</v>
      </c>
      <c r="H22" s="194">
        <f>+G22*F22</f>
        <v>4122500</v>
      </c>
      <c r="I22" s="194">
        <v>185</v>
      </c>
      <c r="J22" s="194">
        <f>+I22*F22</f>
        <v>7862500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>
        <v>-2</v>
      </c>
      <c r="H23" s="194">
        <f t="shared" ref="H23:H25" si="2">+G23*F23</f>
        <v>-70000</v>
      </c>
      <c r="I23" s="194">
        <v>16</v>
      </c>
      <c r="J23" s="194">
        <f t="shared" ref="J23:J25" si="3">+I23*F23</f>
        <v>560000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>
        <v>38</v>
      </c>
      <c r="H24" s="194">
        <f t="shared" si="2"/>
        <v>475000</v>
      </c>
      <c r="I24" s="194">
        <v>68</v>
      </c>
      <c r="J24" s="194">
        <f t="shared" si="3"/>
        <v>850000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>
        <v>111</v>
      </c>
      <c r="H25" s="194">
        <f t="shared" si="2"/>
        <v>1276500</v>
      </c>
      <c r="I25" s="194">
        <v>309</v>
      </c>
      <c r="J25" s="194">
        <f t="shared" si="3"/>
        <v>3553500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5804000</v>
      </c>
      <c r="I26" s="193"/>
      <c r="J26" s="193">
        <f t="shared" ref="J26" si="4">SUM(J22:J25)</f>
        <v>12826000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>
        <v>16</v>
      </c>
      <c r="H27" s="194">
        <f>+G27*F27</f>
        <v>136000</v>
      </c>
      <c r="I27" s="194">
        <v>51</v>
      </c>
      <c r="J27" s="191">
        <f t="shared" ref="J27:J28" si="5">+I27*F27</f>
        <v>433500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>
        <v>-7</v>
      </c>
      <c r="H28" s="194">
        <f>+G28*F28</f>
        <v>-72100</v>
      </c>
      <c r="I28" s="194">
        <v>30</v>
      </c>
      <c r="J28" s="191">
        <f t="shared" si="5"/>
        <v>309000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>
        <v>-15</v>
      </c>
      <c r="H29" s="191">
        <f t="shared" ref="H29:H31" si="6">+F29*G29</f>
        <v>-137250</v>
      </c>
      <c r="I29" s="194">
        <v>55</v>
      </c>
      <c r="J29" s="191">
        <f>+I29*F29</f>
        <v>503250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/>
      <c r="H30" s="191">
        <f t="shared" si="6"/>
        <v>0</v>
      </c>
      <c r="I30" s="194">
        <v>19</v>
      </c>
      <c r="J30" s="191">
        <f>+I30*F30</f>
        <v>161500</v>
      </c>
    </row>
    <row r="31" spans="3:10">
      <c r="C31" s="156"/>
      <c r="D31" s="144" t="s">
        <v>91</v>
      </c>
      <c r="E31" s="145" t="s">
        <v>67</v>
      </c>
      <c r="F31" s="146">
        <v>4600</v>
      </c>
      <c r="G31" s="194">
        <v>-38</v>
      </c>
      <c r="H31" s="191">
        <f t="shared" si="6"/>
        <v>-174800</v>
      </c>
      <c r="I31" s="194"/>
      <c r="J31" s="191">
        <f t="shared" ref="J31" si="7">+I31*F31</f>
        <v>0</v>
      </c>
    </row>
    <row r="32" spans="3:10">
      <c r="C32" s="148"/>
      <c r="D32" s="144" t="s">
        <v>68</v>
      </c>
      <c r="E32" s="145" t="s">
        <v>67</v>
      </c>
      <c r="F32" s="146">
        <v>5500</v>
      </c>
      <c r="G32" s="191">
        <v>-110</v>
      </c>
      <c r="H32" s="191">
        <f>+F32*G32</f>
        <v>-605000</v>
      </c>
      <c r="I32" s="191">
        <v>147</v>
      </c>
      <c r="J32" s="191">
        <f>+I32*F32</f>
        <v>808500</v>
      </c>
    </row>
    <row r="33" spans="3:10">
      <c r="C33" s="148"/>
      <c r="D33" s="144" t="s">
        <v>69</v>
      </c>
      <c r="E33" s="145" t="s">
        <v>67</v>
      </c>
      <c r="F33" s="146">
        <v>4200</v>
      </c>
      <c r="G33" s="191">
        <v>29</v>
      </c>
      <c r="H33" s="191">
        <f>+F33*G33</f>
        <v>121800</v>
      </c>
      <c r="I33" s="191">
        <v>420</v>
      </c>
      <c r="J33" s="191">
        <f t="shared" ref="J33:J36" si="8">+I33*F33</f>
        <v>1764000</v>
      </c>
    </row>
    <row r="34" spans="3:10">
      <c r="C34" s="148"/>
      <c r="D34" s="144" t="s">
        <v>92</v>
      </c>
      <c r="E34" s="145" t="s">
        <v>67</v>
      </c>
      <c r="F34" s="146">
        <v>11500</v>
      </c>
      <c r="G34" s="191"/>
      <c r="H34" s="191">
        <f t="shared" ref="H34:H41" si="9">+F34*G34</f>
        <v>0</v>
      </c>
      <c r="I34" s="191">
        <v>14</v>
      </c>
      <c r="J34" s="191">
        <f t="shared" si="8"/>
        <v>161000</v>
      </c>
    </row>
    <row r="35" spans="3:10">
      <c r="C35" s="148"/>
      <c r="D35" s="144" t="s">
        <v>126</v>
      </c>
      <c r="E35" s="145" t="s">
        <v>67</v>
      </c>
      <c r="F35" s="146">
        <v>8500</v>
      </c>
      <c r="G35" s="191"/>
      <c r="H35" s="191">
        <f t="shared" si="9"/>
        <v>0</v>
      </c>
      <c r="I35" s="191">
        <v>40</v>
      </c>
      <c r="J35" s="191">
        <f t="shared" si="8"/>
        <v>340000</v>
      </c>
    </row>
    <row r="36" spans="3:10">
      <c r="C36" s="148"/>
      <c r="D36" s="144" t="s">
        <v>127</v>
      </c>
      <c r="E36" s="145" t="s">
        <v>67</v>
      </c>
      <c r="F36" s="146">
        <v>6500</v>
      </c>
      <c r="G36" s="191"/>
      <c r="H36" s="191">
        <f t="shared" si="9"/>
        <v>0</v>
      </c>
      <c r="I36" s="191">
        <v>2</v>
      </c>
      <c r="J36" s="191">
        <f t="shared" si="8"/>
        <v>13000</v>
      </c>
    </row>
    <row r="37" spans="3:10">
      <c r="C37" s="148"/>
      <c r="D37" s="144" t="s">
        <v>115</v>
      </c>
      <c r="E37" s="145" t="s">
        <v>67</v>
      </c>
      <c r="F37" s="146">
        <v>12500</v>
      </c>
      <c r="G37" s="191">
        <v>2</v>
      </c>
      <c r="H37" s="191">
        <f t="shared" si="9"/>
        <v>25000</v>
      </c>
      <c r="I37" s="191">
        <v>5</v>
      </c>
      <c r="J37" s="191">
        <f>+I37*F37</f>
        <v>62500</v>
      </c>
    </row>
    <row r="38" spans="3:10">
      <c r="C38" s="148"/>
      <c r="D38" s="159" t="s">
        <v>116</v>
      </c>
      <c r="E38" s="145" t="s">
        <v>67</v>
      </c>
      <c r="F38" s="146">
        <v>5550</v>
      </c>
      <c r="G38" s="191"/>
      <c r="H38" s="191">
        <f t="shared" si="9"/>
        <v>0</v>
      </c>
      <c r="I38" s="191">
        <v>2</v>
      </c>
      <c r="J38" s="191">
        <f>+I38*F38</f>
        <v>11100</v>
      </c>
    </row>
    <row r="39" spans="3:10">
      <c r="C39" s="148"/>
      <c r="D39" s="159" t="s">
        <v>117</v>
      </c>
      <c r="E39" s="145" t="s">
        <v>67</v>
      </c>
      <c r="F39" s="146">
        <v>7500</v>
      </c>
      <c r="G39" s="191">
        <v>2</v>
      </c>
      <c r="H39" s="191">
        <f t="shared" si="9"/>
        <v>15000</v>
      </c>
      <c r="I39" s="191">
        <v>4</v>
      </c>
      <c r="J39" s="191">
        <f>+I39*F39</f>
        <v>30000</v>
      </c>
    </row>
    <row r="40" spans="3:10">
      <c r="C40" s="148"/>
      <c r="D40" s="159" t="s">
        <v>118</v>
      </c>
      <c r="E40" s="145" t="s">
        <v>67</v>
      </c>
      <c r="F40" s="146">
        <v>10200</v>
      </c>
      <c r="G40" s="191"/>
      <c r="H40" s="191">
        <f t="shared" si="9"/>
        <v>0</v>
      </c>
      <c r="I40" s="191">
        <v>2</v>
      </c>
      <c r="J40" s="191">
        <f>+I40*F40</f>
        <v>20400</v>
      </c>
    </row>
    <row r="41" spans="3:10">
      <c r="C41" s="148"/>
      <c r="D41" s="159" t="s">
        <v>119</v>
      </c>
      <c r="E41" s="145" t="s">
        <v>67</v>
      </c>
      <c r="F41" s="146">
        <v>9600</v>
      </c>
      <c r="G41" s="191">
        <v>-4</v>
      </c>
      <c r="H41" s="191">
        <f t="shared" si="9"/>
        <v>-38400</v>
      </c>
      <c r="I41" s="191">
        <v>10</v>
      </c>
      <c r="J41" s="191">
        <f>+I41*F41</f>
        <v>96000</v>
      </c>
    </row>
    <row r="42" spans="3:10">
      <c r="C42" s="241">
        <v>0</v>
      </c>
      <c r="D42" s="242">
        <v>1</v>
      </c>
      <c r="E42" s="242">
        <v>2</v>
      </c>
      <c r="F42" s="242">
        <v>3</v>
      </c>
      <c r="G42" s="243">
        <v>4</v>
      </c>
      <c r="H42" s="243">
        <v>5</v>
      </c>
      <c r="I42" s="243">
        <v>6</v>
      </c>
      <c r="J42" s="243">
        <v>7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SUM(H27:H41)</f>
        <v>-729750</v>
      </c>
      <c r="I43" s="193"/>
      <c r="J43" s="193">
        <f>SUM(J27:J41)</f>
        <v>4713750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7476850</v>
      </c>
      <c r="I44" s="193"/>
      <c r="J44" s="193">
        <f>+J43+J21+J26</f>
        <v>30847750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/>
      <c r="H45" s="194">
        <f>+F45*G45</f>
        <v>0</v>
      </c>
      <c r="I45" s="194">
        <v>180</v>
      </c>
      <c r="J45" s="194">
        <f>+F45*I45</f>
        <v>6300000</v>
      </c>
    </row>
    <row r="46" spans="3:10">
      <c r="C46" s="156"/>
      <c r="D46" s="141" t="s">
        <v>148</v>
      </c>
      <c r="E46" s="142" t="s">
        <v>64</v>
      </c>
      <c r="F46" s="143">
        <v>600000</v>
      </c>
      <c r="G46" s="194">
        <v>5</v>
      </c>
      <c r="H46" s="194">
        <f t="shared" ref="H46:H48" si="10">+F46*G46</f>
        <v>3000000</v>
      </c>
      <c r="I46" s="194">
        <v>5</v>
      </c>
      <c r="J46" s="194">
        <f>+F46*I46</f>
        <v>3000000</v>
      </c>
    </row>
    <row r="47" spans="3:10">
      <c r="C47" s="156"/>
      <c r="D47" s="141" t="s">
        <v>129</v>
      </c>
      <c r="E47" s="142" t="s">
        <v>64</v>
      </c>
      <c r="F47" s="143">
        <v>450000</v>
      </c>
      <c r="G47" s="194">
        <v>6</v>
      </c>
      <c r="H47" s="194">
        <f t="shared" si="10"/>
        <v>2700000</v>
      </c>
      <c r="I47" s="194">
        <v>80</v>
      </c>
      <c r="J47" s="194">
        <f>+F47*I47</f>
        <v>36000000</v>
      </c>
    </row>
    <row r="48" spans="3:10">
      <c r="C48" s="156"/>
      <c r="D48" s="141" t="s">
        <v>130</v>
      </c>
      <c r="E48" s="142" t="s">
        <v>64</v>
      </c>
      <c r="F48" s="143">
        <v>1050</v>
      </c>
      <c r="G48" s="194">
        <v>662.86</v>
      </c>
      <c r="H48" s="194">
        <f t="shared" si="10"/>
        <v>696003</v>
      </c>
      <c r="I48" s="194">
        <v>4932.8599999999997</v>
      </c>
      <c r="J48" s="194">
        <f>+F48*I48</f>
        <v>5179503</v>
      </c>
    </row>
    <row r="49" spans="3:15">
      <c r="C49" s="173" t="s">
        <v>4</v>
      </c>
      <c r="D49" s="174" t="s">
        <v>131</v>
      </c>
      <c r="E49" s="154"/>
      <c r="F49" s="155"/>
      <c r="G49" s="192"/>
      <c r="H49" s="193">
        <f>SUM(H45:H48)</f>
        <v>6396003</v>
      </c>
      <c r="I49" s="193"/>
      <c r="J49" s="193">
        <f t="shared" ref="J49" si="11">SUM(J45:J48)</f>
        <v>50479503</v>
      </c>
    </row>
    <row r="50" spans="3:15">
      <c r="C50" s="148"/>
      <c r="D50" s="163" t="s">
        <v>54</v>
      </c>
      <c r="E50" s="149" t="s">
        <v>55</v>
      </c>
      <c r="F50" s="164">
        <v>50000</v>
      </c>
      <c r="G50" s="191"/>
      <c r="H50" s="195">
        <f t="shared" ref="H50:H53" si="12">G50*F50</f>
        <v>0</v>
      </c>
      <c r="I50" s="191">
        <v>30</v>
      </c>
      <c r="J50" s="195">
        <f>I50*F50</f>
        <v>1500000</v>
      </c>
    </row>
    <row r="51" spans="3:15">
      <c r="C51" s="148"/>
      <c r="D51" s="141" t="s">
        <v>132</v>
      </c>
      <c r="E51" s="142" t="s">
        <v>55</v>
      </c>
      <c r="F51" s="143">
        <v>35000</v>
      </c>
      <c r="G51" s="191"/>
      <c r="H51" s="195">
        <f t="shared" si="12"/>
        <v>0</v>
      </c>
      <c r="I51" s="191">
        <v>30</v>
      </c>
      <c r="J51" s="195">
        <f>I51*F51</f>
        <v>1050000</v>
      </c>
    </row>
    <row r="52" spans="3:15">
      <c r="C52" s="148"/>
      <c r="D52" s="141" t="s">
        <v>73</v>
      </c>
      <c r="E52" s="142" t="s">
        <v>62</v>
      </c>
      <c r="F52" s="143">
        <v>11500</v>
      </c>
      <c r="G52" s="191"/>
      <c r="H52" s="195">
        <f>+G52*F52</f>
        <v>0</v>
      </c>
      <c r="I52" s="191">
        <v>3230</v>
      </c>
      <c r="J52" s="195">
        <f>I52*F52</f>
        <v>37145000</v>
      </c>
    </row>
    <row r="53" spans="3:15">
      <c r="C53" s="148"/>
      <c r="D53" s="165" t="s">
        <v>25</v>
      </c>
      <c r="E53" s="148" t="s">
        <v>19</v>
      </c>
      <c r="F53" s="166">
        <v>65500</v>
      </c>
      <c r="G53" s="191">
        <v>159</v>
      </c>
      <c r="H53" s="195">
        <f t="shared" si="12"/>
        <v>10414500</v>
      </c>
      <c r="I53" s="191">
        <v>1204</v>
      </c>
      <c r="J53" s="195">
        <f>I53*F53</f>
        <v>78862000</v>
      </c>
    </row>
    <row r="54" spans="3:15">
      <c r="C54" s="173" t="s">
        <v>23</v>
      </c>
      <c r="D54" s="168" t="s">
        <v>0</v>
      </c>
      <c r="E54" s="169"/>
      <c r="F54" s="170"/>
      <c r="G54" s="196"/>
      <c r="H54" s="196">
        <f>+H52+H53+H51</f>
        <v>10414500</v>
      </c>
      <c r="I54" s="196"/>
      <c r="J54" s="196">
        <f>SUM(J50:J53)</f>
        <v>118557000</v>
      </c>
    </row>
    <row r="55" spans="3:15">
      <c r="C55" s="172"/>
      <c r="D55" s="141" t="s">
        <v>74</v>
      </c>
      <c r="E55" s="142" t="s">
        <v>64</v>
      </c>
      <c r="F55" s="143">
        <v>950</v>
      </c>
      <c r="G55" s="197">
        <v>1173</v>
      </c>
      <c r="H55" s="197">
        <f>+G55*F55</f>
        <v>1114350</v>
      </c>
      <c r="I55" s="194">
        <v>10238</v>
      </c>
      <c r="J55" s="220">
        <f>+I55*F55</f>
        <v>9726100</v>
      </c>
    </row>
    <row r="56" spans="3:15">
      <c r="C56" s="172"/>
      <c r="D56" s="141" t="s">
        <v>75</v>
      </c>
      <c r="E56" s="142" t="s">
        <v>64</v>
      </c>
      <c r="F56" s="143">
        <v>1050</v>
      </c>
      <c r="G56" s="197">
        <v>3766</v>
      </c>
      <c r="H56" s="197">
        <f t="shared" ref="H56:H58" si="13">+G56*F56</f>
        <v>3954300</v>
      </c>
      <c r="I56" s="194">
        <v>11234</v>
      </c>
      <c r="J56" s="220">
        <f>+I56*F56</f>
        <v>11795700</v>
      </c>
      <c r="L56" s="38"/>
      <c r="O56" s="60"/>
    </row>
    <row r="57" spans="3:15">
      <c r="C57" s="172"/>
      <c r="D57" s="142" t="s">
        <v>76</v>
      </c>
      <c r="E57" s="142" t="s">
        <v>64</v>
      </c>
      <c r="F57" s="143">
        <v>1100</v>
      </c>
      <c r="G57" s="197">
        <v>2385</v>
      </c>
      <c r="H57" s="197">
        <f t="shared" si="13"/>
        <v>2623500</v>
      </c>
      <c r="I57" s="194">
        <v>3165</v>
      </c>
      <c r="J57" s="220">
        <f>+I57*F57</f>
        <v>3481500</v>
      </c>
      <c r="L57" s="38"/>
      <c r="O57" s="60"/>
    </row>
    <row r="58" spans="3:15">
      <c r="C58" s="172"/>
      <c r="D58" s="141" t="s">
        <v>77</v>
      </c>
      <c r="E58" s="142" t="s">
        <v>64</v>
      </c>
      <c r="F58" s="143">
        <v>1250</v>
      </c>
      <c r="G58" s="197"/>
      <c r="H58" s="197">
        <f t="shared" si="13"/>
        <v>0</v>
      </c>
      <c r="I58" s="194">
        <v>4260</v>
      </c>
      <c r="J58" s="220">
        <f>+I58*F58</f>
        <v>5325000</v>
      </c>
      <c r="L58" s="38"/>
      <c r="O58" s="60"/>
    </row>
    <row r="59" spans="3:15">
      <c r="C59" s="173" t="s">
        <v>24</v>
      </c>
      <c r="D59" s="174" t="s">
        <v>79</v>
      </c>
      <c r="E59" s="154"/>
      <c r="F59" s="155"/>
      <c r="G59" s="198"/>
      <c r="H59" s="199">
        <f>+H55+H56+H57+H58</f>
        <v>7692150</v>
      </c>
      <c r="I59" s="199"/>
      <c r="J59" s="221">
        <f>+J55+J56+J57+J58</f>
        <v>30328300</v>
      </c>
      <c r="L59" s="38"/>
      <c r="O59" s="60"/>
    </row>
    <row r="60" spans="3:15">
      <c r="C60" s="167" t="s">
        <v>5</v>
      </c>
      <c r="D60" s="175" t="s">
        <v>30</v>
      </c>
      <c r="E60" s="173"/>
      <c r="F60" s="176"/>
      <c r="G60" s="199"/>
      <c r="H60" s="199">
        <f>+H59+H54+H44+H17+H49</f>
        <v>31979503</v>
      </c>
      <c r="I60" s="199"/>
      <c r="J60" s="199">
        <f>+J59+J54+J44+J17+J49</f>
        <v>233572553</v>
      </c>
      <c r="K60" s="7"/>
      <c r="L60" s="38"/>
      <c r="O60" s="60"/>
    </row>
    <row r="61" spans="3:15">
      <c r="C61" s="172"/>
      <c r="D61" s="177" t="s">
        <v>56</v>
      </c>
      <c r="E61" s="142" t="s">
        <v>57</v>
      </c>
      <c r="F61" s="143">
        <v>117612</v>
      </c>
      <c r="G61" s="194"/>
      <c r="H61" s="197" t="s">
        <v>78</v>
      </c>
      <c r="I61" s="194">
        <v>3</v>
      </c>
      <c r="J61" s="197">
        <f>+I61*F61</f>
        <v>352836</v>
      </c>
      <c r="K61" s="39"/>
      <c r="L61" s="37"/>
      <c r="O61" s="60"/>
    </row>
    <row r="62" spans="3:15">
      <c r="C62" s="172"/>
      <c r="D62" s="178" t="s">
        <v>58</v>
      </c>
      <c r="E62" s="142" t="s">
        <v>57</v>
      </c>
      <c r="F62" s="143">
        <v>137700</v>
      </c>
      <c r="G62" s="194"/>
      <c r="H62" s="197">
        <f t="shared" ref="H62:H64" si="14">+G62*F62</f>
        <v>0</v>
      </c>
      <c r="I62" s="194">
        <v>1</v>
      </c>
      <c r="J62" s="197">
        <f>+I62*F62</f>
        <v>137700</v>
      </c>
      <c r="K62" s="39"/>
      <c r="L62" s="37"/>
      <c r="O62" s="60"/>
    </row>
    <row r="63" spans="3:15">
      <c r="C63" s="172"/>
      <c r="D63" s="134" t="s">
        <v>156</v>
      </c>
      <c r="E63" s="142"/>
      <c r="F63" s="143">
        <v>150000</v>
      </c>
      <c r="G63" s="194">
        <v>20</v>
      </c>
      <c r="H63" s="197">
        <v>3000000</v>
      </c>
      <c r="I63" s="194">
        <v>20</v>
      </c>
      <c r="J63" s="197">
        <f>+I63*F63</f>
        <v>3000000</v>
      </c>
      <c r="K63" s="39"/>
      <c r="L63" s="37"/>
      <c r="O63" s="60"/>
    </row>
    <row r="64" spans="3:15">
      <c r="C64" s="172"/>
      <c r="D64" s="179" t="s">
        <v>26</v>
      </c>
      <c r="E64" s="180" t="s">
        <v>27</v>
      </c>
      <c r="F64" s="181">
        <v>650000</v>
      </c>
      <c r="G64" s="194">
        <v>2</v>
      </c>
      <c r="H64" s="197">
        <f t="shared" si="14"/>
        <v>1300000</v>
      </c>
      <c r="I64" s="194">
        <v>12</v>
      </c>
      <c r="J64" s="197">
        <f>+I64*F64</f>
        <v>7800000</v>
      </c>
      <c r="K64" s="7"/>
      <c r="L64" s="37"/>
      <c r="O64" s="60"/>
    </row>
    <row r="65" spans="3:15">
      <c r="C65" s="172" t="s">
        <v>82</v>
      </c>
      <c r="D65" s="182" t="s">
        <v>28</v>
      </c>
      <c r="E65" s="167"/>
      <c r="F65" s="171"/>
      <c r="G65" s="196"/>
      <c r="H65" s="196">
        <f>SUM(H61:H64)</f>
        <v>4300000</v>
      </c>
      <c r="I65" s="200"/>
      <c r="J65" s="196">
        <f t="shared" ref="J65" si="15">SUM(J61:J64)</f>
        <v>11290536</v>
      </c>
      <c r="K65" s="39"/>
      <c r="L65" s="37"/>
      <c r="O65" s="61"/>
    </row>
    <row r="66" spans="3:15">
      <c r="C66" s="172"/>
      <c r="D66" s="141" t="s">
        <v>100</v>
      </c>
      <c r="E66" s="142" t="s">
        <v>67</v>
      </c>
      <c r="F66" s="143">
        <f>35500*90%</f>
        <v>31950</v>
      </c>
      <c r="G66" s="201">
        <v>-7</v>
      </c>
      <c r="H66" s="201">
        <f>+G66*F66</f>
        <v>-223650</v>
      </c>
      <c r="I66" s="201">
        <v>30</v>
      </c>
      <c r="J66" s="201">
        <f t="shared" ref="J66:J93" si="16">+I66*F66</f>
        <v>958500</v>
      </c>
      <c r="K66" s="7"/>
      <c r="L66" s="37"/>
      <c r="O66" s="62"/>
    </row>
    <row r="67" spans="3:15">
      <c r="C67" s="172"/>
      <c r="D67" s="141" t="s">
        <v>142</v>
      </c>
      <c r="E67" s="142" t="s">
        <v>67</v>
      </c>
      <c r="F67" s="143">
        <v>22500</v>
      </c>
      <c r="G67" s="201"/>
      <c r="H67" s="201">
        <f>+G67*F67</f>
        <v>0</v>
      </c>
      <c r="I67" s="201">
        <v>14</v>
      </c>
      <c r="J67" s="201">
        <f t="shared" si="16"/>
        <v>315000</v>
      </c>
      <c r="K67" s="7"/>
      <c r="L67" s="37"/>
      <c r="O67" s="62"/>
    </row>
    <row r="68" spans="3:15">
      <c r="C68" s="172"/>
      <c r="D68" s="141" t="s">
        <v>101</v>
      </c>
      <c r="E68" s="142" t="s">
        <v>67</v>
      </c>
      <c r="F68" s="143">
        <f>36000*90%</f>
        <v>32400</v>
      </c>
      <c r="G68" s="201">
        <v>41</v>
      </c>
      <c r="H68" s="201">
        <f t="shared" ref="H68:H79" si="17">+G68*F68</f>
        <v>1328400</v>
      </c>
      <c r="I68" s="201">
        <v>206</v>
      </c>
      <c r="J68" s="201">
        <f t="shared" si="16"/>
        <v>6674400</v>
      </c>
      <c r="K68" s="7"/>
      <c r="L68" s="37"/>
      <c r="O68" s="62"/>
    </row>
    <row r="69" spans="3:15">
      <c r="C69" s="172"/>
      <c r="D69" s="141" t="s">
        <v>102</v>
      </c>
      <c r="E69" s="142" t="s">
        <v>103</v>
      </c>
      <c r="F69" s="143">
        <f>16000*90%</f>
        <v>14400</v>
      </c>
      <c r="G69" s="201">
        <v>41</v>
      </c>
      <c r="H69" s="201">
        <f t="shared" si="17"/>
        <v>590400</v>
      </c>
      <c r="I69" s="201">
        <v>206</v>
      </c>
      <c r="J69" s="201">
        <f t="shared" si="16"/>
        <v>2966400</v>
      </c>
      <c r="K69" s="7"/>
      <c r="L69" s="37"/>
      <c r="O69" s="62"/>
    </row>
    <row r="70" spans="3:15">
      <c r="C70" s="172"/>
      <c r="D70" s="141" t="s">
        <v>133</v>
      </c>
      <c r="E70" s="142" t="s">
        <v>67</v>
      </c>
      <c r="F70" s="143">
        <f>36000*90%</f>
        <v>32400</v>
      </c>
      <c r="G70" s="201">
        <v>-9</v>
      </c>
      <c r="H70" s="201">
        <f t="shared" si="17"/>
        <v>-291600</v>
      </c>
      <c r="I70" s="201">
        <v>10</v>
      </c>
      <c r="J70" s="201">
        <f t="shared" si="16"/>
        <v>324000</v>
      </c>
      <c r="K70" s="7"/>
      <c r="L70" s="37"/>
      <c r="O70" s="62"/>
    </row>
    <row r="71" spans="3:15">
      <c r="C71" s="172"/>
      <c r="D71" s="141" t="s">
        <v>104</v>
      </c>
      <c r="E71" s="142" t="s">
        <v>105</v>
      </c>
      <c r="F71" s="143">
        <f>16000*90%</f>
        <v>14400</v>
      </c>
      <c r="G71" s="201">
        <v>-10</v>
      </c>
      <c r="H71" s="201">
        <f t="shared" si="17"/>
        <v>-144000</v>
      </c>
      <c r="I71" s="201">
        <v>10</v>
      </c>
      <c r="J71" s="201">
        <f t="shared" si="16"/>
        <v>144000</v>
      </c>
      <c r="L71" s="37"/>
      <c r="O71" s="62"/>
    </row>
    <row r="72" spans="3:15">
      <c r="C72" s="172"/>
      <c r="D72" s="134" t="s">
        <v>149</v>
      </c>
      <c r="E72" s="105" t="s">
        <v>67</v>
      </c>
      <c r="F72" s="106">
        <f>26000*90%</f>
        <v>23400</v>
      </c>
      <c r="G72" s="201">
        <v>10</v>
      </c>
      <c r="H72" s="201">
        <f t="shared" si="17"/>
        <v>234000</v>
      </c>
      <c r="I72" s="201">
        <v>10</v>
      </c>
      <c r="J72" s="201">
        <f t="shared" si="16"/>
        <v>234000</v>
      </c>
      <c r="L72" s="37"/>
      <c r="O72" s="62"/>
    </row>
    <row r="73" spans="3:15">
      <c r="C73" s="172"/>
      <c r="D73" s="141" t="s">
        <v>143</v>
      </c>
      <c r="E73" s="142" t="s">
        <v>57</v>
      </c>
      <c r="F73" s="143">
        <v>18000</v>
      </c>
      <c r="G73" s="201">
        <v>11</v>
      </c>
      <c r="H73" s="201">
        <f t="shared" si="17"/>
        <v>198000</v>
      </c>
      <c r="I73" s="201">
        <v>15</v>
      </c>
      <c r="J73" s="201">
        <f t="shared" si="16"/>
        <v>270000</v>
      </c>
      <c r="L73" s="37"/>
      <c r="O73" s="62"/>
    </row>
    <row r="74" spans="3:15">
      <c r="C74" s="172"/>
      <c r="D74" s="141" t="s">
        <v>106</v>
      </c>
      <c r="E74" s="142" t="s">
        <v>67</v>
      </c>
      <c r="F74" s="143">
        <f>25000*0.9</f>
        <v>22500</v>
      </c>
      <c r="G74" s="197">
        <v>29</v>
      </c>
      <c r="H74" s="201">
        <f t="shared" si="17"/>
        <v>652500</v>
      </c>
      <c r="I74" s="201">
        <v>940</v>
      </c>
      <c r="J74" s="201">
        <f t="shared" si="16"/>
        <v>21150000</v>
      </c>
      <c r="O74" s="62"/>
    </row>
    <row r="75" spans="3:15">
      <c r="C75" s="172"/>
      <c r="D75" s="141" t="s">
        <v>107</v>
      </c>
      <c r="E75" s="142" t="s">
        <v>67</v>
      </c>
      <c r="F75" s="143">
        <f>30000*90%</f>
        <v>27000</v>
      </c>
      <c r="G75" s="197">
        <v>-55</v>
      </c>
      <c r="H75" s="201">
        <f t="shared" si="17"/>
        <v>-1485000</v>
      </c>
      <c r="I75" s="201">
        <v>673</v>
      </c>
      <c r="J75" s="201">
        <f t="shared" si="16"/>
        <v>18171000</v>
      </c>
      <c r="O75" s="62"/>
    </row>
    <row r="76" spans="3:15">
      <c r="C76" s="172"/>
      <c r="D76" s="224" t="s">
        <v>150</v>
      </c>
      <c r="E76" s="142" t="s">
        <v>67</v>
      </c>
      <c r="F76" s="143">
        <v>18000</v>
      </c>
      <c r="G76" s="197">
        <v>150</v>
      </c>
      <c r="H76" s="201">
        <f t="shared" si="17"/>
        <v>2700000</v>
      </c>
      <c r="I76" s="201">
        <v>150</v>
      </c>
      <c r="J76" s="201">
        <f t="shared" si="16"/>
        <v>2700000</v>
      </c>
      <c r="O76" s="62"/>
    </row>
    <row r="77" spans="3:15">
      <c r="C77" s="172"/>
      <c r="D77" s="141" t="s">
        <v>108</v>
      </c>
      <c r="E77" s="142" t="s">
        <v>67</v>
      </c>
      <c r="F77" s="143">
        <f>(32000+40000+16000)*0.9</f>
        <v>79200</v>
      </c>
      <c r="G77" s="197">
        <v>16</v>
      </c>
      <c r="H77" s="201">
        <f t="shared" si="17"/>
        <v>1267200</v>
      </c>
      <c r="I77" s="201">
        <v>66</v>
      </c>
      <c r="J77" s="201">
        <f t="shared" si="16"/>
        <v>5227200</v>
      </c>
      <c r="O77" s="62"/>
    </row>
    <row r="78" spans="3:15">
      <c r="C78" s="172"/>
      <c r="D78" s="183" t="s">
        <v>120</v>
      </c>
      <c r="E78" s="184" t="s">
        <v>67</v>
      </c>
      <c r="F78" s="185">
        <f>29000*90%</f>
        <v>26100</v>
      </c>
      <c r="G78" s="197">
        <v>1</v>
      </c>
      <c r="H78" s="201">
        <f t="shared" si="17"/>
        <v>26100</v>
      </c>
      <c r="I78" s="201">
        <v>74</v>
      </c>
      <c r="J78" s="201">
        <f t="shared" si="16"/>
        <v>1931400</v>
      </c>
      <c r="O78" s="62"/>
    </row>
    <row r="79" spans="3:15">
      <c r="C79" s="172"/>
      <c r="D79" s="141" t="s">
        <v>109</v>
      </c>
      <c r="E79" s="142" t="s">
        <v>67</v>
      </c>
      <c r="F79" s="143">
        <f>36000*0.9</f>
        <v>32400</v>
      </c>
      <c r="G79" s="197">
        <v>-7</v>
      </c>
      <c r="H79" s="201">
        <f t="shared" si="17"/>
        <v>-226800</v>
      </c>
      <c r="I79" s="201">
        <v>30</v>
      </c>
      <c r="J79" s="201">
        <f t="shared" si="16"/>
        <v>972000</v>
      </c>
      <c r="O79" s="62"/>
    </row>
    <row r="80" spans="3:15">
      <c r="C80" s="172"/>
      <c r="D80" s="141" t="s">
        <v>110</v>
      </c>
      <c r="E80" s="142" t="s">
        <v>67</v>
      </c>
      <c r="F80" s="143">
        <f>9000*90%</f>
        <v>8100</v>
      </c>
      <c r="G80" s="197">
        <v>-94</v>
      </c>
      <c r="H80" s="201">
        <f>+G80*F80</f>
        <v>-761400</v>
      </c>
      <c r="I80" s="201">
        <v>198</v>
      </c>
      <c r="J80" s="201">
        <f t="shared" si="16"/>
        <v>1603800</v>
      </c>
      <c r="O80" s="62"/>
    </row>
    <row r="81" spans="3:15">
      <c r="C81" s="172"/>
      <c r="D81" s="141" t="s">
        <v>111</v>
      </c>
      <c r="E81" s="142" t="s">
        <v>67</v>
      </c>
      <c r="F81" s="143">
        <f>6000*90%</f>
        <v>5400</v>
      </c>
      <c r="G81" s="197">
        <v>6</v>
      </c>
      <c r="H81" s="201">
        <f>+G81*F81</f>
        <v>32400</v>
      </c>
      <c r="I81" s="201">
        <v>1346</v>
      </c>
      <c r="J81" s="201">
        <f t="shared" si="16"/>
        <v>7268400</v>
      </c>
      <c r="O81" s="62"/>
    </row>
    <row r="82" spans="3:15">
      <c r="C82" s="172"/>
      <c r="D82" s="141" t="s">
        <v>121</v>
      </c>
      <c r="E82" s="142" t="s">
        <v>67</v>
      </c>
      <c r="F82" s="143">
        <v>105000</v>
      </c>
      <c r="G82" s="197"/>
      <c r="H82" s="201">
        <f>+G82*F82</f>
        <v>0</v>
      </c>
      <c r="I82" s="201">
        <v>5</v>
      </c>
      <c r="J82" s="201">
        <f t="shared" si="16"/>
        <v>525000</v>
      </c>
      <c r="O82" s="62"/>
    </row>
    <row r="83" spans="3:15">
      <c r="C83" s="241">
        <v>0</v>
      </c>
      <c r="D83" s="242">
        <v>1</v>
      </c>
      <c r="E83" s="242">
        <v>2</v>
      </c>
      <c r="F83" s="242">
        <v>3</v>
      </c>
      <c r="G83" s="243">
        <v>4</v>
      </c>
      <c r="H83" s="243">
        <v>5</v>
      </c>
      <c r="I83" s="243">
        <v>6</v>
      </c>
      <c r="J83" s="243">
        <v>7</v>
      </c>
      <c r="O83" s="62"/>
    </row>
    <row r="84" spans="3:15">
      <c r="C84" s="172"/>
      <c r="D84" s="141" t="s">
        <v>134</v>
      </c>
      <c r="E84" s="142" t="s">
        <v>67</v>
      </c>
      <c r="F84" s="143">
        <f>70000*90%</f>
        <v>63000</v>
      </c>
      <c r="G84" s="197"/>
      <c r="H84" s="201">
        <f t="shared" ref="H84:H93" si="18">+G84*F84</f>
        <v>0</v>
      </c>
      <c r="I84" s="201">
        <v>40</v>
      </c>
      <c r="J84" s="201">
        <f t="shared" si="16"/>
        <v>2520000</v>
      </c>
      <c r="O84" s="62"/>
    </row>
    <row r="85" spans="3:15">
      <c r="C85" s="172"/>
      <c r="D85" s="206" t="s">
        <v>135</v>
      </c>
      <c r="E85" s="142" t="s">
        <v>67</v>
      </c>
      <c r="F85" s="143">
        <f>110000*0.9</f>
        <v>99000</v>
      </c>
      <c r="G85" s="197"/>
      <c r="H85" s="201">
        <f t="shared" si="18"/>
        <v>0</v>
      </c>
      <c r="I85" s="201">
        <v>2</v>
      </c>
      <c r="J85" s="201">
        <f t="shared" si="16"/>
        <v>198000</v>
      </c>
      <c r="O85" s="62"/>
    </row>
    <row r="86" spans="3:15">
      <c r="C86" s="172"/>
      <c r="D86" s="206" t="s">
        <v>136</v>
      </c>
      <c r="E86" s="142" t="s">
        <v>67</v>
      </c>
      <c r="F86" s="143">
        <f>455000*0.9</f>
        <v>409500</v>
      </c>
      <c r="G86" s="197"/>
      <c r="H86" s="201">
        <f t="shared" si="18"/>
        <v>0</v>
      </c>
      <c r="I86" s="201">
        <v>2</v>
      </c>
      <c r="J86" s="201">
        <f t="shared" si="16"/>
        <v>819000</v>
      </c>
      <c r="O86" s="62"/>
    </row>
    <row r="87" spans="3:15">
      <c r="C87" s="172"/>
      <c r="D87" s="206" t="s">
        <v>137</v>
      </c>
      <c r="E87" s="142" t="s">
        <v>67</v>
      </c>
      <c r="F87" s="143">
        <f>510000*0.9</f>
        <v>459000</v>
      </c>
      <c r="G87" s="197">
        <v>2</v>
      </c>
      <c r="H87" s="201">
        <f t="shared" si="18"/>
        <v>918000</v>
      </c>
      <c r="I87" s="201">
        <v>4</v>
      </c>
      <c r="J87" s="201">
        <f t="shared" si="16"/>
        <v>1836000</v>
      </c>
      <c r="O87" s="62"/>
    </row>
    <row r="88" spans="3:15">
      <c r="C88" s="172"/>
      <c r="D88" s="206" t="s">
        <v>138</v>
      </c>
      <c r="E88" s="142" t="s">
        <v>67</v>
      </c>
      <c r="F88" s="143">
        <f>(140000+20000)*0.9</f>
        <v>144000</v>
      </c>
      <c r="G88" s="197"/>
      <c r="H88" s="201">
        <f t="shared" si="18"/>
        <v>0</v>
      </c>
      <c r="I88" s="201">
        <v>2</v>
      </c>
      <c r="J88" s="201">
        <f t="shared" si="16"/>
        <v>288000</v>
      </c>
      <c r="O88" s="62"/>
    </row>
    <row r="89" spans="3:15">
      <c r="C89" s="172"/>
      <c r="D89" s="141" t="s">
        <v>139</v>
      </c>
      <c r="E89" s="142" t="s">
        <v>67</v>
      </c>
      <c r="F89" s="143">
        <f>95000*0.9</f>
        <v>85500</v>
      </c>
      <c r="G89" s="197"/>
      <c r="H89" s="201">
        <f t="shared" si="18"/>
        <v>0</v>
      </c>
      <c r="I89" s="201">
        <v>19</v>
      </c>
      <c r="J89" s="201">
        <f t="shared" si="16"/>
        <v>1624500</v>
      </c>
      <c r="O89" s="62"/>
    </row>
    <row r="90" spans="3:15">
      <c r="C90" s="172"/>
      <c r="D90" s="219" t="s">
        <v>151</v>
      </c>
      <c r="E90" s="105" t="s">
        <v>67</v>
      </c>
      <c r="F90" s="106">
        <v>112500</v>
      </c>
      <c r="G90" s="197">
        <v>2</v>
      </c>
      <c r="H90" s="201">
        <f t="shared" si="18"/>
        <v>225000</v>
      </c>
      <c r="I90" s="201">
        <f t="shared" ref="I90:I92" si="19">+G90</f>
        <v>2</v>
      </c>
      <c r="J90" s="201">
        <f t="shared" si="16"/>
        <v>225000</v>
      </c>
      <c r="O90" s="62"/>
    </row>
    <row r="91" spans="3:15">
      <c r="C91" s="172"/>
      <c r="D91" s="219" t="s">
        <v>152</v>
      </c>
      <c r="E91" s="105" t="s">
        <v>67</v>
      </c>
      <c r="F91" s="106">
        <v>45000</v>
      </c>
      <c r="G91" s="197">
        <v>5</v>
      </c>
      <c r="H91" s="201">
        <f t="shared" si="18"/>
        <v>225000</v>
      </c>
      <c r="I91" s="201">
        <f t="shared" si="19"/>
        <v>5</v>
      </c>
      <c r="J91" s="201">
        <f t="shared" si="16"/>
        <v>225000</v>
      </c>
      <c r="O91" s="62"/>
    </row>
    <row r="92" spans="3:15">
      <c r="C92" s="172"/>
      <c r="D92" s="134" t="s">
        <v>153</v>
      </c>
      <c r="E92" s="105" t="s">
        <v>67</v>
      </c>
      <c r="F92" s="106">
        <v>54000</v>
      </c>
      <c r="G92" s="197">
        <v>15</v>
      </c>
      <c r="H92" s="201">
        <f t="shared" si="18"/>
        <v>810000</v>
      </c>
      <c r="I92" s="201">
        <f t="shared" si="19"/>
        <v>15</v>
      </c>
      <c r="J92" s="201">
        <f t="shared" si="16"/>
        <v>810000</v>
      </c>
      <c r="O92" s="62"/>
    </row>
    <row r="93" spans="3:15">
      <c r="C93" s="172"/>
      <c r="D93" s="134" t="s">
        <v>157</v>
      </c>
      <c r="E93" s="105" t="s">
        <v>67</v>
      </c>
      <c r="F93" s="106">
        <v>54000</v>
      </c>
      <c r="G93" s="197">
        <v>3</v>
      </c>
      <c r="H93" s="201">
        <f t="shared" si="18"/>
        <v>162000</v>
      </c>
      <c r="I93" s="201">
        <v>3</v>
      </c>
      <c r="J93" s="201">
        <f t="shared" si="16"/>
        <v>162000</v>
      </c>
      <c r="O93" s="62"/>
    </row>
    <row r="94" spans="3:15">
      <c r="C94" s="167" t="s">
        <v>94</v>
      </c>
      <c r="D94" s="186" t="s">
        <v>112</v>
      </c>
      <c r="E94" s="172"/>
      <c r="F94" s="187"/>
      <c r="G94" s="202"/>
      <c r="H94" s="202">
        <f>SUM(H66:H93)-5</f>
        <v>6236550</v>
      </c>
      <c r="I94" s="202"/>
      <c r="J94" s="202">
        <f>SUM(J66:J93)-7</f>
        <v>80142600</v>
      </c>
      <c r="L94" s="38"/>
      <c r="O94" s="62"/>
    </row>
    <row r="95" spans="3:15">
      <c r="C95" s="167"/>
      <c r="D95" s="188" t="s">
        <v>144</v>
      </c>
      <c r="E95" s="156" t="s">
        <v>145</v>
      </c>
      <c r="F95" s="213">
        <v>65000</v>
      </c>
      <c r="G95" s="197"/>
      <c r="H95" s="197">
        <f t="shared" ref="H95:H97" si="20">+G95*F95</f>
        <v>0</v>
      </c>
      <c r="I95" s="197">
        <v>14</v>
      </c>
      <c r="J95" s="197">
        <f t="shared" ref="J95:J97" si="21">+I95*F95</f>
        <v>910000</v>
      </c>
      <c r="O95" s="62"/>
    </row>
    <row r="96" spans="3:15">
      <c r="C96" s="167"/>
      <c r="D96" s="134" t="s">
        <v>154</v>
      </c>
      <c r="E96" s="105" t="s">
        <v>67</v>
      </c>
      <c r="F96" s="106">
        <f>28000</f>
        <v>28000</v>
      </c>
      <c r="G96" s="197">
        <v>5</v>
      </c>
      <c r="H96" s="197">
        <f t="shared" si="20"/>
        <v>140000</v>
      </c>
      <c r="I96" s="197">
        <f>+G96</f>
        <v>5</v>
      </c>
      <c r="J96" s="197">
        <f t="shared" si="21"/>
        <v>140000</v>
      </c>
      <c r="O96" s="62"/>
    </row>
    <row r="97" spans="3:15">
      <c r="C97" s="167"/>
      <c r="D97" s="134" t="s">
        <v>155</v>
      </c>
      <c r="E97" s="105" t="s">
        <v>67</v>
      </c>
      <c r="F97" s="106">
        <f>35500</f>
        <v>35500</v>
      </c>
      <c r="G97" s="197">
        <v>5</v>
      </c>
      <c r="H97" s="197">
        <f t="shared" si="20"/>
        <v>177500</v>
      </c>
      <c r="I97" s="197">
        <f>+G97</f>
        <v>5</v>
      </c>
      <c r="J97" s="197">
        <f t="shared" si="21"/>
        <v>177500</v>
      </c>
      <c r="O97" s="62"/>
    </row>
    <row r="98" spans="3:15">
      <c r="C98" s="172"/>
      <c r="D98" s="141" t="s">
        <v>115</v>
      </c>
      <c r="E98" s="142" t="s">
        <v>57</v>
      </c>
      <c r="F98" s="143">
        <v>2500000</v>
      </c>
      <c r="G98" s="197">
        <v>2</v>
      </c>
      <c r="H98" s="197">
        <f>+G98*F98</f>
        <v>5000000</v>
      </c>
      <c r="I98" s="197">
        <v>5</v>
      </c>
      <c r="J98" s="197">
        <f>+I98*F98</f>
        <v>12500000</v>
      </c>
      <c r="L98" s="37"/>
      <c r="M98" s="218"/>
      <c r="N98" s="218"/>
      <c r="O98" s="62"/>
    </row>
    <row r="99" spans="3:15">
      <c r="C99" s="167" t="s">
        <v>95</v>
      </c>
      <c r="D99" s="147" t="s">
        <v>122</v>
      </c>
      <c r="E99" s="142"/>
      <c r="F99" s="143"/>
      <c r="G99" s="197"/>
      <c r="H99" s="222">
        <f>+H98+H95+H96+H97</f>
        <v>5317500</v>
      </c>
      <c r="I99" s="202"/>
      <c r="J99" s="222">
        <f>+J98+J95+J96+J97</f>
        <v>13727500</v>
      </c>
      <c r="L99" s="37"/>
      <c r="M99" s="218"/>
      <c r="N99" s="218"/>
      <c r="O99" s="62"/>
    </row>
    <row r="100" spans="3:15">
      <c r="C100" s="167" t="s">
        <v>96</v>
      </c>
      <c r="D100" s="182" t="s">
        <v>31</v>
      </c>
      <c r="E100" s="167"/>
      <c r="F100" s="171"/>
      <c r="G100" s="196"/>
      <c r="H100" s="223">
        <f>+H94+H65+H99</f>
        <v>15854050</v>
      </c>
      <c r="I100" s="196"/>
      <c r="J100" s="223">
        <f>+J94+J65+J99</f>
        <v>105160636</v>
      </c>
      <c r="L100" s="37"/>
      <c r="M100" s="217"/>
      <c r="N100" s="217"/>
      <c r="O100" s="62"/>
    </row>
    <row r="101" spans="3:15">
      <c r="C101" s="172"/>
      <c r="D101" s="188" t="s">
        <v>29</v>
      </c>
      <c r="E101" s="172"/>
      <c r="F101" s="187"/>
      <c r="G101" s="202"/>
      <c r="H101" s="220">
        <v>0</v>
      </c>
      <c r="I101" s="194"/>
      <c r="J101" s="220">
        <v>0</v>
      </c>
      <c r="K101" s="122"/>
      <c r="L101" s="39"/>
      <c r="M101" s="218"/>
      <c r="N101" s="218"/>
      <c r="O101" s="218"/>
    </row>
    <row r="102" spans="3:15">
      <c r="C102" s="167" t="s">
        <v>113</v>
      </c>
      <c r="D102" s="182" t="s">
        <v>32</v>
      </c>
      <c r="E102" s="167"/>
      <c r="F102" s="171"/>
      <c r="G102" s="196"/>
      <c r="H102" s="223">
        <f>H60+H100</f>
        <v>47833553</v>
      </c>
      <c r="I102" s="200"/>
      <c r="J102" s="223">
        <f>J60+J100</f>
        <v>338733189</v>
      </c>
      <c r="O102" s="63"/>
    </row>
    <row r="103" spans="3:15">
      <c r="C103" s="167" t="s">
        <v>140</v>
      </c>
      <c r="D103" s="182" t="s">
        <v>3</v>
      </c>
      <c r="E103" s="167"/>
      <c r="F103" s="171"/>
      <c r="G103" s="196"/>
      <c r="H103" s="223">
        <f>+H101*0.1+H102*0.1</f>
        <v>4783355.3</v>
      </c>
      <c r="I103" s="200"/>
      <c r="J103" s="223">
        <f>+J101*0.1+J102*0.1</f>
        <v>33873318.899999999</v>
      </c>
      <c r="N103" s="217"/>
      <c r="O103" s="61"/>
    </row>
    <row r="104" spans="3:15">
      <c r="C104" s="167" t="s">
        <v>141</v>
      </c>
      <c r="D104" s="182" t="s">
        <v>59</v>
      </c>
      <c r="E104" s="167"/>
      <c r="F104" s="171"/>
      <c r="G104" s="196"/>
      <c r="H104" s="223">
        <f>SUM(H101:H103)</f>
        <v>52616908.299999997</v>
      </c>
      <c r="I104" s="200"/>
      <c r="J104" s="223">
        <f>SUM(J101:J103)</f>
        <v>372606507.89999998</v>
      </c>
      <c r="O104" s="60"/>
    </row>
    <row r="105" spans="3:15">
      <c r="D105" s="4"/>
      <c r="N105" s="217"/>
      <c r="O105" s="61"/>
    </row>
    <row r="106" spans="3:15">
      <c r="D106" s="4" t="s">
        <v>34</v>
      </c>
      <c r="H106" s="236"/>
      <c r="I106" s="236"/>
    </row>
    <row r="107" spans="3:15">
      <c r="D107" s="214" t="s">
        <v>35</v>
      </c>
      <c r="G107" s="216" t="s">
        <v>36</v>
      </c>
      <c r="H107" s="204"/>
    </row>
    <row r="108" spans="3:15">
      <c r="D108" s="214"/>
      <c r="H108" s="216"/>
    </row>
    <row r="109" spans="3:15">
      <c r="D109" s="214" t="s">
        <v>51</v>
      </c>
      <c r="G109" s="216" t="s">
        <v>52</v>
      </c>
      <c r="H109" s="204"/>
    </row>
    <row r="110" spans="3:15">
      <c r="D110" s="214"/>
      <c r="G110" s="216"/>
      <c r="H110" s="216"/>
    </row>
    <row r="111" spans="3:15">
      <c r="D111" s="75" t="s">
        <v>40</v>
      </c>
      <c r="G111" s="216" t="s">
        <v>38</v>
      </c>
      <c r="H111" s="216"/>
    </row>
    <row r="112" spans="3:15">
      <c r="D112" s="4" t="s">
        <v>41</v>
      </c>
      <c r="H112" s="216"/>
    </row>
    <row r="114" spans="4:7">
      <c r="D114" s="7" t="s">
        <v>42</v>
      </c>
      <c r="G114" s="216" t="s">
        <v>43</v>
      </c>
    </row>
    <row r="116" spans="4:7">
      <c r="D116" s="4" t="s">
        <v>44</v>
      </c>
    </row>
    <row r="117" spans="4:7">
      <c r="D117" s="7" t="s">
        <v>45</v>
      </c>
      <c r="G117" s="216" t="s">
        <v>47</v>
      </c>
    </row>
    <row r="118" spans="4:7">
      <c r="G118" s="216"/>
    </row>
    <row r="119" spans="4:7">
      <c r="D119" s="7" t="s">
        <v>46</v>
      </c>
      <c r="G119" s="37" t="s">
        <v>48</v>
      </c>
    </row>
  </sheetData>
  <mergeCells count="14">
    <mergeCell ref="H106:I106"/>
    <mergeCell ref="C12:J12"/>
    <mergeCell ref="C13:C14"/>
    <mergeCell ref="D13:D14"/>
    <mergeCell ref="E13:E14"/>
    <mergeCell ref="F13:F14"/>
    <mergeCell ref="G13:H13"/>
    <mergeCell ref="I13:J13"/>
    <mergeCell ref="C10:J10"/>
    <mergeCell ref="C1:J1"/>
    <mergeCell ref="C2:J2"/>
    <mergeCell ref="C3:J3"/>
    <mergeCell ref="D6:J6"/>
    <mergeCell ref="D7:J7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6F5-402F-48D9-B2BA-604F837AD6FD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33"/>
      <c r="C8" s="33"/>
      <c r="D8" s="33"/>
      <c r="F8" s="33" t="s">
        <v>17</v>
      </c>
    </row>
    <row r="9" spans="1:8">
      <c r="B9" s="33"/>
      <c r="C9" s="33"/>
      <c r="D9" s="33"/>
      <c r="E9" s="33"/>
      <c r="F9" s="33"/>
    </row>
    <row r="10" spans="1:8">
      <c r="A10" s="225" t="s">
        <v>49</v>
      </c>
      <c r="B10" s="225"/>
      <c r="C10" s="225"/>
      <c r="D10" s="225"/>
      <c r="E10" s="225"/>
      <c r="F10" s="225"/>
      <c r="G10" s="225"/>
      <c r="H10" s="225"/>
    </row>
    <row r="11" spans="1:8">
      <c r="A11" s="32"/>
      <c r="B11" s="32"/>
      <c r="C11" s="32"/>
      <c r="D11" s="32"/>
      <c r="E11" s="32"/>
      <c r="F11" s="32"/>
      <c r="G11" s="32"/>
      <c r="H11" s="32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4" spans="1:8">
      <c r="A14" s="228" t="s">
        <v>11</v>
      </c>
      <c r="B14" s="228" t="s">
        <v>1</v>
      </c>
      <c r="C14" s="229" t="s">
        <v>7</v>
      </c>
      <c r="D14" s="229" t="s">
        <v>8</v>
      </c>
      <c r="E14" s="231" t="s">
        <v>9</v>
      </c>
      <c r="F14" s="231"/>
      <c r="G14" s="231" t="s">
        <v>10</v>
      </c>
      <c r="H14" s="231"/>
    </row>
    <row r="15" spans="1:8">
      <c r="A15" s="228"/>
      <c r="B15" s="228"/>
      <c r="C15" s="230"/>
      <c r="D15" s="230"/>
      <c r="E15" s="35" t="s">
        <v>2</v>
      </c>
      <c r="F15" s="35" t="s">
        <v>0</v>
      </c>
      <c r="G15" s="35" t="s">
        <v>2</v>
      </c>
      <c r="H15" s="35" t="s">
        <v>0</v>
      </c>
    </row>
    <row r="16" spans="1:8">
      <c r="A16" s="35">
        <v>0</v>
      </c>
      <c r="B16" s="35">
        <v>1</v>
      </c>
      <c r="C16" s="36">
        <v>2</v>
      </c>
      <c r="D16" s="36">
        <v>3</v>
      </c>
      <c r="E16" s="35">
        <v>4</v>
      </c>
      <c r="F16" s="35">
        <v>5</v>
      </c>
      <c r="G16" s="35">
        <v>6</v>
      </c>
      <c r="H16" s="35">
        <v>7</v>
      </c>
    </row>
    <row r="17" spans="1:10">
      <c r="A17" s="35"/>
      <c r="B17" s="8" t="s">
        <v>25</v>
      </c>
      <c r="C17" s="35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v>440</v>
      </c>
      <c r="H17" s="9">
        <f t="shared" ref="H17" si="1">G17*D17</f>
        <v>28820000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28820000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28820000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2</v>
      </c>
      <c r="H20" s="16">
        <f t="shared" ref="H20" si="5">+G20*D20</f>
        <v>1300000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1300000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30120000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1506000</v>
      </c>
      <c r="G25" s="13"/>
      <c r="H25" s="13">
        <f>+H23*0.1+H24*0.1</f>
        <v>3012000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>SUM(H23:H25)</f>
        <v>33132000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27"/>
      <c r="G28" s="227"/>
    </row>
    <row r="29" spans="1:10">
      <c r="B29" s="32" t="s">
        <v>35</v>
      </c>
      <c r="E29" s="29" t="s">
        <v>36</v>
      </c>
      <c r="F29" s="28"/>
      <c r="G29" s="28"/>
    </row>
    <row r="30" spans="1:10">
      <c r="B30" s="32"/>
      <c r="F30" s="34"/>
      <c r="G30" s="34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34"/>
      <c r="G32" s="34"/>
    </row>
    <row r="33" spans="2:7">
      <c r="B33" s="31" t="s">
        <v>40</v>
      </c>
      <c r="C33" s="3"/>
      <c r="D33" s="3"/>
      <c r="E33" s="29" t="s">
        <v>38</v>
      </c>
      <c r="F33" s="34"/>
      <c r="G33" s="34"/>
    </row>
    <row r="34" spans="2:7">
      <c r="B34" s="4"/>
      <c r="C34" s="3"/>
      <c r="D34" s="3"/>
      <c r="E34" s="3"/>
      <c r="F34" s="34"/>
      <c r="G34" s="34"/>
    </row>
    <row r="35" spans="2:7">
      <c r="B35" s="4" t="s">
        <v>41</v>
      </c>
      <c r="F35" s="34"/>
      <c r="G35" s="34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1.1023622047244095" top="0.55118110236220474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9519-F6F3-4B49-8CE0-560132414C36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41"/>
      <c r="C8" s="41"/>
      <c r="D8" s="41"/>
      <c r="F8" s="41" t="s">
        <v>17</v>
      </c>
    </row>
    <row r="9" spans="1:8">
      <c r="B9" s="41"/>
      <c r="C9" s="41"/>
      <c r="D9" s="41"/>
      <c r="E9" s="41"/>
      <c r="F9" s="41"/>
    </row>
    <row r="10" spans="1:8">
      <c r="A10" s="225" t="s">
        <v>50</v>
      </c>
      <c r="B10" s="225"/>
      <c r="C10" s="225"/>
      <c r="D10" s="225"/>
      <c r="E10" s="225"/>
      <c r="F10" s="225"/>
      <c r="G10" s="225"/>
      <c r="H10" s="225"/>
    </row>
    <row r="11" spans="1:8">
      <c r="A11" s="40"/>
      <c r="B11" s="40"/>
      <c r="C11" s="40"/>
      <c r="D11" s="40"/>
      <c r="E11" s="40"/>
      <c r="F11" s="40"/>
      <c r="G11" s="40"/>
      <c r="H11" s="40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4" spans="1:8">
      <c r="A14" s="228" t="s">
        <v>11</v>
      </c>
      <c r="B14" s="228" t="s">
        <v>1</v>
      </c>
      <c r="C14" s="229" t="s">
        <v>7</v>
      </c>
      <c r="D14" s="229" t="s">
        <v>8</v>
      </c>
      <c r="E14" s="231" t="s">
        <v>9</v>
      </c>
      <c r="F14" s="231"/>
      <c r="G14" s="231" t="s">
        <v>10</v>
      </c>
      <c r="H14" s="231"/>
    </row>
    <row r="15" spans="1:8">
      <c r="A15" s="228"/>
      <c r="B15" s="228"/>
      <c r="C15" s="230"/>
      <c r="D15" s="230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43">
        <v>0</v>
      </c>
      <c r="B16" s="43">
        <v>1</v>
      </c>
      <c r="C16" s="44">
        <v>2</v>
      </c>
      <c r="D16" s="44">
        <v>3</v>
      </c>
      <c r="E16" s="43">
        <v>4</v>
      </c>
      <c r="F16" s="43">
        <v>5</v>
      </c>
      <c r="G16" s="43">
        <v>6</v>
      </c>
      <c r="H16" s="43">
        <v>7</v>
      </c>
    </row>
    <row r="17" spans="1:10">
      <c r="A17" s="43"/>
      <c r="B17" s="8" t="s">
        <v>25</v>
      </c>
      <c r="C17" s="43" t="s">
        <v>19</v>
      </c>
      <c r="D17" s="24">
        <v>65500</v>
      </c>
      <c r="E17" s="10">
        <v>200</v>
      </c>
      <c r="F17" s="9">
        <f t="shared" ref="F17" si="0">E17*D17</f>
        <v>13100000</v>
      </c>
      <c r="G17" s="10">
        <f>440+200</f>
        <v>640</v>
      </c>
      <c r="H17" s="9">
        <f t="shared" ref="H17" si="1">G17*D17</f>
        <v>41920000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13100000</v>
      </c>
      <c r="G18" s="10">
        <f t="shared" ref="G18" si="2">+E18</f>
        <v>0</v>
      </c>
      <c r="H18" s="13">
        <f>SUM(H17:H17)</f>
        <v>41920000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13100000</v>
      </c>
      <c r="G19" s="13"/>
      <c r="H19" s="13">
        <f t="shared" ref="H19" si="3">+H18</f>
        <v>41920000</v>
      </c>
      <c r="I19" s="37">
        <f>+F19*2%</f>
        <v>262000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3</v>
      </c>
      <c r="H20" s="16">
        <f t="shared" ref="H20" si="5">+G20*D20</f>
        <v>1950000</v>
      </c>
      <c r="I20" s="38">
        <f>+F19-I19</f>
        <v>12838000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/>
      <c r="H21" s="13">
        <f>SUM(H20:H20)</f>
        <v>1950000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1950000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13750000</v>
      </c>
      <c r="G24" s="13"/>
      <c r="H24" s="13">
        <f>H19+H22</f>
        <v>43870000</v>
      </c>
      <c r="I24" s="38">
        <f>+I21+I20</f>
        <v>13488000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1375000</v>
      </c>
      <c r="G25" s="13"/>
      <c r="H25" s="13">
        <f>+H23*0.1+H24*0.1</f>
        <v>4387000</v>
      </c>
      <c r="I25" s="7">
        <f>+I24*0.1</f>
        <v>1348800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15125000</v>
      </c>
      <c r="G26" s="13"/>
      <c r="H26" s="13">
        <f>SUM(H23:H25)</f>
        <v>48257000</v>
      </c>
      <c r="I26" s="69">
        <f>+I25+I24</f>
        <v>14836800</v>
      </c>
    </row>
    <row r="27" spans="1:10">
      <c r="B27" s="4"/>
    </row>
    <row r="28" spans="1:10">
      <c r="B28" s="4" t="s">
        <v>34</v>
      </c>
      <c r="F28" s="227"/>
      <c r="G28" s="227"/>
    </row>
    <row r="29" spans="1:10">
      <c r="B29" s="40" t="s">
        <v>35</v>
      </c>
      <c r="E29" s="29" t="s">
        <v>36</v>
      </c>
      <c r="F29" s="28"/>
      <c r="G29" s="28"/>
    </row>
    <row r="30" spans="1:10">
      <c r="B30" s="40"/>
      <c r="F30" s="42"/>
      <c r="G30" s="42"/>
    </row>
    <row r="31" spans="1:10">
      <c r="B31" s="30" t="s">
        <v>51</v>
      </c>
      <c r="E31" s="29" t="s">
        <v>52</v>
      </c>
      <c r="F31" s="28"/>
      <c r="G31" s="28"/>
    </row>
    <row r="32" spans="1:10">
      <c r="B32" s="30"/>
      <c r="C32" s="3"/>
      <c r="D32" s="3"/>
      <c r="E32" s="29"/>
      <c r="F32" s="42"/>
      <c r="G32" s="42"/>
    </row>
    <row r="33" spans="2:7">
      <c r="B33" s="31" t="s">
        <v>40</v>
      </c>
      <c r="C33" s="3"/>
      <c r="D33" s="3"/>
      <c r="E33" s="29" t="s">
        <v>38</v>
      </c>
      <c r="F33" s="42"/>
      <c r="G33" s="42"/>
    </row>
    <row r="34" spans="2:7">
      <c r="B34" s="4"/>
      <c r="C34" s="3"/>
      <c r="D34" s="3"/>
      <c r="E34" s="3"/>
      <c r="F34" s="42"/>
      <c r="G34" s="42"/>
    </row>
    <row r="35" spans="2:7">
      <c r="B35" s="4" t="s">
        <v>41</v>
      </c>
      <c r="F35" s="42"/>
      <c r="G35" s="42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1.102362204724409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4A49-D187-49B1-BD71-457E4BBCEB59}">
  <dimension ref="A1:M43"/>
  <sheetViews>
    <sheetView topLeftCell="A7" workbookViewId="0">
      <selection activeCell="I27" sqref="I27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49"/>
      <c r="C8" s="49"/>
      <c r="D8" s="49"/>
      <c r="F8" s="49" t="s">
        <v>17</v>
      </c>
    </row>
    <row r="9" spans="1:8">
      <c r="B9" s="49"/>
      <c r="C9" s="49"/>
      <c r="D9" s="49"/>
      <c r="E9" s="49"/>
      <c r="F9" s="49"/>
    </row>
    <row r="10" spans="1:8">
      <c r="A10" s="225" t="s">
        <v>53</v>
      </c>
      <c r="B10" s="225"/>
      <c r="C10" s="225"/>
      <c r="D10" s="225"/>
      <c r="E10" s="225"/>
      <c r="F10" s="225"/>
      <c r="G10" s="225"/>
      <c r="H10" s="225"/>
    </row>
    <row r="11" spans="1:8">
      <c r="A11" s="46"/>
      <c r="B11" s="46"/>
      <c r="C11" s="46"/>
      <c r="D11" s="46"/>
      <c r="E11" s="46"/>
      <c r="F11" s="46"/>
      <c r="G11" s="46"/>
      <c r="H11" s="46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3" spans="1:8">
      <c r="A13" s="228" t="s">
        <v>11</v>
      </c>
      <c r="B13" s="228" t="s">
        <v>1</v>
      </c>
      <c r="C13" s="229" t="s">
        <v>7</v>
      </c>
      <c r="D13" s="229" t="s">
        <v>8</v>
      </c>
      <c r="E13" s="231" t="s">
        <v>9</v>
      </c>
      <c r="F13" s="231"/>
      <c r="G13" s="231" t="s">
        <v>10</v>
      </c>
      <c r="H13" s="231"/>
    </row>
    <row r="14" spans="1:8">
      <c r="A14" s="228"/>
      <c r="B14" s="228"/>
      <c r="C14" s="230"/>
      <c r="D14" s="230"/>
      <c r="E14" s="47" t="s">
        <v>2</v>
      </c>
      <c r="F14" s="47" t="s">
        <v>0</v>
      </c>
      <c r="G14" s="47" t="s">
        <v>2</v>
      </c>
      <c r="H14" s="47" t="s">
        <v>0</v>
      </c>
    </row>
    <row r="15" spans="1:8">
      <c r="A15" s="47">
        <v>0</v>
      </c>
      <c r="B15" s="47">
        <v>1</v>
      </c>
      <c r="C15" s="48">
        <v>2</v>
      </c>
      <c r="D15" s="48">
        <v>3</v>
      </c>
      <c r="E15" s="47">
        <v>4</v>
      </c>
      <c r="F15" s="47">
        <v>5</v>
      </c>
      <c r="G15" s="47">
        <v>6</v>
      </c>
      <c r="H15" s="47">
        <v>7</v>
      </c>
    </row>
    <row r="16" spans="1:8">
      <c r="A16" s="47"/>
      <c r="B16" s="50" t="s">
        <v>54</v>
      </c>
      <c r="C16" s="48" t="s">
        <v>55</v>
      </c>
      <c r="D16" s="51">
        <v>50000</v>
      </c>
      <c r="E16" s="47">
        <v>30</v>
      </c>
      <c r="F16" s="9">
        <f t="shared" ref="F16:F17" si="0">E16*D16</f>
        <v>1500000</v>
      </c>
      <c r="G16" s="47">
        <v>30</v>
      </c>
      <c r="H16" s="9">
        <f t="shared" ref="H16:H17" si="1">G16*D16</f>
        <v>1500000</v>
      </c>
    </row>
    <row r="17" spans="1:13">
      <c r="A17" s="47"/>
      <c r="B17" s="8" t="s">
        <v>25</v>
      </c>
      <c r="C17" s="47" t="s">
        <v>19</v>
      </c>
      <c r="D17" s="24">
        <v>65500</v>
      </c>
      <c r="E17" s="47">
        <v>200</v>
      </c>
      <c r="F17" s="9">
        <f t="shared" si="0"/>
        <v>13100000</v>
      </c>
      <c r="G17" s="47">
        <f>440+200+200</f>
        <v>840</v>
      </c>
      <c r="H17" s="9">
        <f t="shared" si="1"/>
        <v>55020000</v>
      </c>
    </row>
    <row r="18" spans="1:13">
      <c r="A18" s="11" t="s">
        <v>20</v>
      </c>
      <c r="B18" s="12" t="s">
        <v>0</v>
      </c>
      <c r="C18" s="1"/>
      <c r="D18" s="25"/>
      <c r="E18" s="14"/>
      <c r="F18" s="13">
        <f>SUM(F16:F17)</f>
        <v>14600000</v>
      </c>
      <c r="G18" s="13"/>
      <c r="H18" s="13">
        <f t="shared" ref="H18" si="2">SUM(H16:H17)</f>
        <v>56520000</v>
      </c>
    </row>
    <row r="19" spans="1:13">
      <c r="A19" s="11" t="s">
        <v>21</v>
      </c>
      <c r="B19" s="12" t="s">
        <v>30</v>
      </c>
      <c r="C19" s="11"/>
      <c r="D19" s="25"/>
      <c r="E19" s="14"/>
      <c r="F19" s="13">
        <f>+F18</f>
        <v>14600000</v>
      </c>
      <c r="G19" s="13"/>
      <c r="H19" s="13">
        <f t="shared" ref="H19" si="3">+H18</f>
        <v>56520000</v>
      </c>
      <c r="I19" s="37">
        <f>+F19*2%</f>
        <v>292000</v>
      </c>
      <c r="J19" s="38"/>
      <c r="M19" s="60"/>
    </row>
    <row r="20" spans="1:13">
      <c r="A20" s="52"/>
      <c r="B20" s="53" t="s">
        <v>56</v>
      </c>
      <c r="C20" s="55" t="s">
        <v>57</v>
      </c>
      <c r="D20" s="56">
        <v>117612</v>
      </c>
      <c r="E20" s="58">
        <v>3</v>
      </c>
      <c r="F20" s="57">
        <f t="shared" ref="F20:F22" si="4">+E20*D20</f>
        <v>352836</v>
      </c>
      <c r="G20" s="59">
        <f>+E20</f>
        <v>3</v>
      </c>
      <c r="H20" s="57">
        <f t="shared" ref="H20:H22" si="5">+G20*D20</f>
        <v>352836</v>
      </c>
      <c r="I20" s="37">
        <f>+F19-I19</f>
        <v>14308000</v>
      </c>
      <c r="J20" s="38"/>
      <c r="M20" s="60"/>
    </row>
    <row r="21" spans="1:13">
      <c r="A21" s="52"/>
      <c r="B21" s="54" t="s">
        <v>58</v>
      </c>
      <c r="C21" s="55" t="s">
        <v>57</v>
      </c>
      <c r="D21" s="56">
        <v>137700</v>
      </c>
      <c r="E21" s="58">
        <v>1</v>
      </c>
      <c r="F21" s="57">
        <f t="shared" si="4"/>
        <v>137700</v>
      </c>
      <c r="G21" s="59">
        <f>+E21</f>
        <v>1</v>
      </c>
      <c r="H21" s="57">
        <f t="shared" si="5"/>
        <v>137700</v>
      </c>
      <c r="J21" s="38"/>
      <c r="M21" s="60"/>
    </row>
    <row r="22" spans="1:13">
      <c r="A22" s="52"/>
      <c r="B22" s="17" t="s">
        <v>26</v>
      </c>
      <c r="C22" s="18" t="s">
        <v>27</v>
      </c>
      <c r="D22" s="26">
        <v>650000</v>
      </c>
      <c r="E22" s="58">
        <v>1</v>
      </c>
      <c r="F22" s="57">
        <f t="shared" si="4"/>
        <v>650000</v>
      </c>
      <c r="G22" s="58">
        <f>3+1</f>
        <v>4</v>
      </c>
      <c r="H22" s="57">
        <f t="shared" si="5"/>
        <v>2600000</v>
      </c>
      <c r="J22" s="39"/>
      <c r="M22" s="61"/>
    </row>
    <row r="23" spans="1:13">
      <c r="A23" s="11" t="s">
        <v>22</v>
      </c>
      <c r="B23" s="12" t="s">
        <v>28</v>
      </c>
      <c r="C23" s="11"/>
      <c r="D23" s="13"/>
      <c r="E23" s="14"/>
      <c r="F23" s="13">
        <f>SUM(F20:F22)</f>
        <v>1140536</v>
      </c>
      <c r="G23" s="13"/>
      <c r="H23" s="13">
        <f t="shared" ref="H23" si="6">SUM(H20:H22)</f>
        <v>3090536</v>
      </c>
      <c r="I23" s="37">
        <f>+F23</f>
        <v>1140536</v>
      </c>
      <c r="M23" s="62"/>
    </row>
    <row r="24" spans="1:13">
      <c r="A24" s="11" t="s">
        <v>4</v>
      </c>
      <c r="B24" s="12" t="s">
        <v>31</v>
      </c>
      <c r="C24" s="11"/>
      <c r="D24" s="13"/>
      <c r="E24" s="14"/>
      <c r="F24" s="13">
        <f>+F23</f>
        <v>1140536</v>
      </c>
      <c r="G24" s="13"/>
      <c r="H24" s="13">
        <f t="shared" ref="H24" si="7">+H23</f>
        <v>3090536</v>
      </c>
      <c r="J24" s="39"/>
      <c r="M24" s="63"/>
    </row>
    <row r="25" spans="1:13">
      <c r="A25" s="11"/>
      <c r="B25" s="6" t="s">
        <v>29</v>
      </c>
      <c r="C25" s="11"/>
      <c r="D25" s="13"/>
      <c r="E25" s="14"/>
      <c r="F25" s="5">
        <v>0</v>
      </c>
      <c r="G25" s="5"/>
      <c r="H25" s="5">
        <v>0</v>
      </c>
      <c r="I25" s="37">
        <f>+I20+I23</f>
        <v>15448536</v>
      </c>
      <c r="M25" s="63"/>
    </row>
    <row r="26" spans="1:13">
      <c r="A26" s="11" t="s">
        <v>23</v>
      </c>
      <c r="B26" s="12" t="s">
        <v>32</v>
      </c>
      <c r="C26" s="11"/>
      <c r="D26" s="13"/>
      <c r="E26" s="14"/>
      <c r="F26" s="13">
        <f>F19+F24</f>
        <v>15740536</v>
      </c>
      <c r="G26" s="13"/>
      <c r="H26" s="13">
        <f>H19+H24</f>
        <v>59610536</v>
      </c>
      <c r="I26" s="37">
        <f>+I25*0.1</f>
        <v>1544853.6</v>
      </c>
      <c r="M26" s="61"/>
    </row>
    <row r="27" spans="1:13">
      <c r="A27" s="11" t="s">
        <v>24</v>
      </c>
      <c r="B27" s="12" t="s">
        <v>3</v>
      </c>
      <c r="C27" s="11"/>
      <c r="D27" s="13"/>
      <c r="E27" s="14"/>
      <c r="F27" s="13">
        <f>+F25*0.1+F26*0.1</f>
        <v>1574053.6</v>
      </c>
      <c r="G27" s="13"/>
      <c r="H27" s="13">
        <f>+H25*0.1+H26*0.1</f>
        <v>5961053.6000000006</v>
      </c>
      <c r="I27" s="115">
        <f>+I25+I26</f>
        <v>16993389.600000001</v>
      </c>
      <c r="M27" s="60"/>
    </row>
    <row r="28" spans="1:13">
      <c r="A28" s="11" t="s">
        <v>5</v>
      </c>
      <c r="B28" s="12" t="s">
        <v>59</v>
      </c>
      <c r="C28" s="11"/>
      <c r="D28" s="13"/>
      <c r="E28" s="14"/>
      <c r="F28" s="13">
        <f>SUM(F25:F27)</f>
        <v>17314589.600000001</v>
      </c>
      <c r="G28" s="13"/>
      <c r="H28" s="13">
        <f>SUM(H25:H27)</f>
        <v>65571589.600000001</v>
      </c>
      <c r="M28" s="61"/>
    </row>
    <row r="29" spans="1:13">
      <c r="B29" s="4"/>
    </row>
    <row r="30" spans="1:13">
      <c r="B30" s="4" t="s">
        <v>34</v>
      </c>
      <c r="F30" s="227"/>
      <c r="G30" s="227"/>
    </row>
    <row r="31" spans="1:13">
      <c r="B31" s="46" t="s">
        <v>35</v>
      </c>
      <c r="E31" s="29" t="s">
        <v>36</v>
      </c>
      <c r="F31" s="28"/>
      <c r="G31" s="28"/>
    </row>
    <row r="32" spans="1:13">
      <c r="B32" s="46"/>
      <c r="F32" s="45"/>
      <c r="G32" s="45"/>
    </row>
    <row r="33" spans="2:7">
      <c r="B33" s="30" t="s">
        <v>51</v>
      </c>
      <c r="E33" s="29" t="s">
        <v>52</v>
      </c>
      <c r="F33" s="28"/>
      <c r="G33" s="28"/>
    </row>
    <row r="34" spans="2:7">
      <c r="B34" s="30"/>
      <c r="C34" s="3"/>
      <c r="D34" s="3"/>
      <c r="E34" s="29"/>
      <c r="F34" s="45"/>
      <c r="G34" s="45"/>
    </row>
    <row r="35" spans="2:7">
      <c r="B35" s="31" t="s">
        <v>40</v>
      </c>
      <c r="C35" s="3"/>
      <c r="D35" s="3"/>
      <c r="E35" s="29" t="s">
        <v>38</v>
      </c>
      <c r="F35" s="45"/>
      <c r="G35" s="45"/>
    </row>
    <row r="36" spans="2:7">
      <c r="B36" s="4" t="s">
        <v>41</v>
      </c>
      <c r="F36" s="45"/>
      <c r="G36" s="45"/>
    </row>
    <row r="38" spans="2:7">
      <c r="B38" s="3" t="s">
        <v>42</v>
      </c>
      <c r="E38" s="29" t="s">
        <v>43</v>
      </c>
    </row>
    <row r="40" spans="2:7">
      <c r="B40" s="4" t="s">
        <v>44</v>
      </c>
    </row>
    <row r="41" spans="2:7">
      <c r="B41" s="3" t="s">
        <v>45</v>
      </c>
      <c r="E41" s="29" t="s">
        <v>47</v>
      </c>
    </row>
    <row r="42" spans="2:7">
      <c r="B42" s="3"/>
      <c r="E42" s="29"/>
    </row>
    <row r="43" spans="2:7">
      <c r="B43" s="3" t="s">
        <v>46</v>
      </c>
      <c r="E43" s="3" t="s">
        <v>48</v>
      </c>
    </row>
  </sheetData>
  <mergeCells count="14">
    <mergeCell ref="F30:G30"/>
    <mergeCell ref="A12:H12"/>
    <mergeCell ref="A13:A14"/>
    <mergeCell ref="B13:B14"/>
    <mergeCell ref="C13:C14"/>
    <mergeCell ref="D13:D14"/>
    <mergeCell ref="E13:F13"/>
    <mergeCell ref="G13:H13"/>
    <mergeCell ref="A10:H10"/>
    <mergeCell ref="A1:H1"/>
    <mergeCell ref="A2:H2"/>
    <mergeCell ref="A3:H3"/>
    <mergeCell ref="B6:H6"/>
    <mergeCell ref="B7:H7"/>
  </mergeCells>
  <pageMargins left="1.299212598425197" right="1.1023622047244095" top="0.74803149606299213" bottom="0.55118110236220474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304B-A7DA-45D7-88DB-674BE8C50A32}">
  <dimension ref="A1:M59"/>
  <sheetViews>
    <sheetView topLeftCell="A10" workbookViewId="0">
      <selection activeCell="E32" sqref="E32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1" width="14.796875" style="37" customWidth="1"/>
    <col min="12" max="12" width="9" style="7"/>
    <col min="13" max="13" width="14" style="7" customWidth="1"/>
    <col min="14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68"/>
      <c r="C8" s="68"/>
      <c r="D8" s="68"/>
      <c r="F8" s="68" t="s">
        <v>17</v>
      </c>
    </row>
    <row r="9" spans="1:8">
      <c r="B9" s="68"/>
      <c r="C9" s="68"/>
      <c r="D9" s="68"/>
      <c r="E9" s="68"/>
      <c r="F9" s="68"/>
    </row>
    <row r="10" spans="1:8">
      <c r="A10" s="225" t="s">
        <v>60</v>
      </c>
      <c r="B10" s="225"/>
      <c r="C10" s="225"/>
      <c r="D10" s="225"/>
      <c r="E10" s="225"/>
      <c r="F10" s="225"/>
      <c r="G10" s="225"/>
      <c r="H10" s="225"/>
    </row>
    <row r="11" spans="1:8">
      <c r="A11" s="65"/>
      <c r="B11" s="65"/>
      <c r="C11" s="65"/>
      <c r="D11" s="65"/>
      <c r="E11" s="65"/>
      <c r="F11" s="65"/>
      <c r="G11" s="65"/>
      <c r="H11" s="65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3" spans="1:8">
      <c r="A13" s="228" t="s">
        <v>11</v>
      </c>
      <c r="B13" s="228" t="s">
        <v>1</v>
      </c>
      <c r="C13" s="229" t="s">
        <v>7</v>
      </c>
      <c r="D13" s="229" t="s">
        <v>8</v>
      </c>
      <c r="E13" s="231" t="s">
        <v>9</v>
      </c>
      <c r="F13" s="231"/>
      <c r="G13" s="231" t="s">
        <v>10</v>
      </c>
      <c r="H13" s="231"/>
    </row>
    <row r="14" spans="1:8">
      <c r="A14" s="228"/>
      <c r="B14" s="228"/>
      <c r="C14" s="230"/>
      <c r="D14" s="230"/>
      <c r="E14" s="66" t="s">
        <v>2</v>
      </c>
      <c r="F14" s="66" t="s">
        <v>0</v>
      </c>
      <c r="G14" s="66" t="s">
        <v>2</v>
      </c>
      <c r="H14" s="66" t="s">
        <v>0</v>
      </c>
    </row>
    <row r="15" spans="1:8">
      <c r="A15" s="66">
        <v>0</v>
      </c>
      <c r="B15" s="66">
        <v>1</v>
      </c>
      <c r="C15" s="67">
        <v>2</v>
      </c>
      <c r="D15" s="67">
        <v>3</v>
      </c>
      <c r="E15" s="66">
        <v>4</v>
      </c>
      <c r="F15" s="66">
        <v>5</v>
      </c>
      <c r="G15" s="66">
        <v>6</v>
      </c>
      <c r="H15" s="66">
        <v>7</v>
      </c>
    </row>
    <row r="16" spans="1:8">
      <c r="A16" s="66"/>
      <c r="B16" s="74" t="s">
        <v>61</v>
      </c>
      <c r="C16" s="55" t="s">
        <v>62</v>
      </c>
      <c r="D16" s="56">
        <v>56000</v>
      </c>
      <c r="E16" s="66">
        <v>60</v>
      </c>
      <c r="F16" s="70">
        <f>+E16*D16</f>
        <v>3360000</v>
      </c>
      <c r="G16" s="66">
        <f>+E16</f>
        <v>60</v>
      </c>
      <c r="H16" s="70">
        <f>+F16</f>
        <v>3360000</v>
      </c>
    </row>
    <row r="17" spans="1:13">
      <c r="A17" s="80" t="s">
        <v>80</v>
      </c>
      <c r="B17" s="81" t="s">
        <v>63</v>
      </c>
      <c r="C17" s="82"/>
      <c r="D17" s="82"/>
      <c r="E17" s="80"/>
      <c r="F17" s="83">
        <f>+F16</f>
        <v>3360000</v>
      </c>
      <c r="G17" s="83"/>
      <c r="H17" s="83">
        <f t="shared" ref="H17" si="0">+H16</f>
        <v>3360000</v>
      </c>
    </row>
    <row r="18" spans="1:13">
      <c r="A18" s="66"/>
      <c r="B18" s="74" t="s">
        <v>65</v>
      </c>
      <c r="C18" s="55" t="s">
        <v>64</v>
      </c>
      <c r="D18" s="56">
        <v>38400</v>
      </c>
      <c r="E18" s="66">
        <v>15</v>
      </c>
      <c r="F18" s="70">
        <f>+E18*D18</f>
        <v>576000</v>
      </c>
      <c r="G18" s="70">
        <f>+E18</f>
        <v>15</v>
      </c>
      <c r="H18" s="70">
        <f>+F18</f>
        <v>576000</v>
      </c>
    </row>
    <row r="19" spans="1:13">
      <c r="A19" s="66"/>
      <c r="B19" s="74" t="s">
        <v>66</v>
      </c>
      <c r="C19" s="55" t="s">
        <v>64</v>
      </c>
      <c r="D19" s="56">
        <v>47500</v>
      </c>
      <c r="E19" s="66">
        <v>30</v>
      </c>
      <c r="F19" s="70">
        <f>+E19*D19</f>
        <v>1425000</v>
      </c>
      <c r="G19" s="70">
        <f>+E19</f>
        <v>30</v>
      </c>
      <c r="H19" s="70">
        <f>+F19</f>
        <v>1425000</v>
      </c>
    </row>
    <row r="20" spans="1:13" ht="27.6">
      <c r="A20" s="80" t="s">
        <v>81</v>
      </c>
      <c r="B20" s="84" t="s">
        <v>70</v>
      </c>
      <c r="C20" s="85"/>
      <c r="D20" s="86"/>
      <c r="E20" s="80"/>
      <c r="F20" s="83">
        <f>SUM(F18:F19)</f>
        <v>2001000</v>
      </c>
      <c r="G20" s="83"/>
      <c r="H20" s="83">
        <f t="shared" ref="H20" si="1">SUM(H18:H19)</f>
        <v>2001000</v>
      </c>
    </row>
    <row r="21" spans="1:13">
      <c r="A21" s="66"/>
      <c r="B21" s="76" t="s">
        <v>68</v>
      </c>
      <c r="C21" s="77" t="s">
        <v>67</v>
      </c>
      <c r="D21" s="78">
        <v>5500</v>
      </c>
      <c r="E21" s="66">
        <v>30</v>
      </c>
      <c r="F21" s="70">
        <f>+D21*E21</f>
        <v>165000</v>
      </c>
      <c r="G21" s="70">
        <f>+E21</f>
        <v>30</v>
      </c>
      <c r="H21" s="70">
        <f>+F21</f>
        <v>165000</v>
      </c>
    </row>
    <row r="22" spans="1:13">
      <c r="A22" s="66"/>
      <c r="B22" s="76" t="s">
        <v>69</v>
      </c>
      <c r="C22" s="77" t="s">
        <v>67</v>
      </c>
      <c r="D22" s="78">
        <v>4200</v>
      </c>
      <c r="E22" s="66">
        <v>85</v>
      </c>
      <c r="F22" s="70">
        <f>+D22*E22</f>
        <v>357000</v>
      </c>
      <c r="G22" s="70">
        <f>+E22</f>
        <v>85</v>
      </c>
      <c r="H22" s="70">
        <f>+F22</f>
        <v>357000</v>
      </c>
    </row>
    <row r="23" spans="1:13">
      <c r="A23" s="80"/>
      <c r="B23" s="87" t="s">
        <v>71</v>
      </c>
      <c r="C23" s="88"/>
      <c r="D23" s="89"/>
      <c r="E23" s="80"/>
      <c r="F23" s="83">
        <f>SUM(F21:F22)</f>
        <v>522000</v>
      </c>
      <c r="G23" s="83"/>
      <c r="H23" s="83">
        <f t="shared" ref="H23" si="2">SUM(H21:H22)</f>
        <v>522000</v>
      </c>
    </row>
    <row r="24" spans="1:13">
      <c r="A24" s="80"/>
      <c r="B24" s="87" t="s">
        <v>72</v>
      </c>
      <c r="C24" s="88"/>
      <c r="D24" s="89"/>
      <c r="E24" s="80"/>
      <c r="F24" s="83">
        <f>+F23+F20</f>
        <v>2523000</v>
      </c>
      <c r="G24" s="83">
        <f t="shared" ref="G24:H24" si="3">+G23+G20</f>
        <v>0</v>
      </c>
      <c r="H24" s="83">
        <f t="shared" si="3"/>
        <v>2523000</v>
      </c>
    </row>
    <row r="25" spans="1:13">
      <c r="A25" s="66"/>
      <c r="B25" s="50" t="s">
        <v>54</v>
      </c>
      <c r="C25" s="67" t="s">
        <v>55</v>
      </c>
      <c r="D25" s="51">
        <v>50000</v>
      </c>
      <c r="E25" s="66"/>
      <c r="F25" s="9">
        <f t="shared" ref="F25:F27" si="4">E25*D25</f>
        <v>0</v>
      </c>
      <c r="G25" s="66">
        <v>30</v>
      </c>
      <c r="H25" s="9">
        <f t="shared" ref="H25:H27" si="5">G25*D25</f>
        <v>1500000</v>
      </c>
    </row>
    <row r="26" spans="1:13">
      <c r="A26" s="66"/>
      <c r="B26" s="74" t="s">
        <v>73</v>
      </c>
      <c r="C26" s="55" t="s">
        <v>62</v>
      </c>
      <c r="D26" s="56">
        <v>11500</v>
      </c>
      <c r="E26" s="66">
        <v>110</v>
      </c>
      <c r="F26" s="9">
        <f>+E26*D26</f>
        <v>1265000</v>
      </c>
      <c r="G26" s="66">
        <f>+E26</f>
        <v>110</v>
      </c>
      <c r="H26" s="9">
        <f>+F26</f>
        <v>1265000</v>
      </c>
    </row>
    <row r="27" spans="1:13">
      <c r="A27" s="66"/>
      <c r="B27" s="8" t="s">
        <v>25</v>
      </c>
      <c r="C27" s="66" t="s">
        <v>19</v>
      </c>
      <c r="D27" s="24">
        <v>65500</v>
      </c>
      <c r="E27" s="66">
        <v>100</v>
      </c>
      <c r="F27" s="9">
        <f t="shared" si="4"/>
        <v>6550000</v>
      </c>
      <c r="G27" s="66">
        <f>440+200+200+100</f>
        <v>940</v>
      </c>
      <c r="H27" s="9">
        <f t="shared" si="5"/>
        <v>61570000</v>
      </c>
    </row>
    <row r="28" spans="1:13">
      <c r="A28" s="11" t="s">
        <v>20</v>
      </c>
      <c r="B28" s="79" t="s">
        <v>0</v>
      </c>
      <c r="C28" s="1"/>
      <c r="D28" s="25"/>
      <c r="E28" s="14"/>
      <c r="F28" s="13">
        <f>SUM(F25:F27)</f>
        <v>7815000</v>
      </c>
      <c r="G28" s="13"/>
      <c r="H28" s="13">
        <f>SUM(H25:H27)</f>
        <v>64335000</v>
      </c>
    </row>
    <row r="29" spans="1:13">
      <c r="A29" s="52"/>
      <c r="B29" s="74" t="s">
        <v>74</v>
      </c>
      <c r="C29" s="55" t="s">
        <v>64</v>
      </c>
      <c r="D29" s="56">
        <v>950</v>
      </c>
      <c r="E29" s="73">
        <v>3240</v>
      </c>
      <c r="F29" s="57">
        <f>+E29*D29</f>
        <v>3078000</v>
      </c>
      <c r="G29" s="57">
        <f>+E29</f>
        <v>3240</v>
      </c>
      <c r="H29" s="57">
        <f>+F29</f>
        <v>3078000</v>
      </c>
      <c r="J29" s="38"/>
      <c r="M29" s="60"/>
    </row>
    <row r="30" spans="1:13">
      <c r="A30" s="52"/>
      <c r="B30" s="74" t="s">
        <v>75</v>
      </c>
      <c r="C30" s="55" t="s">
        <v>64</v>
      </c>
      <c r="D30" s="56">
        <v>1050</v>
      </c>
      <c r="E30" s="73">
        <v>520</v>
      </c>
      <c r="F30" s="57">
        <f t="shared" ref="F30:F32" si="6">+E30*D30</f>
        <v>546000</v>
      </c>
      <c r="G30" s="57">
        <f t="shared" ref="G30:G32" si="7">+E30</f>
        <v>520</v>
      </c>
      <c r="H30" s="57">
        <f t="shared" ref="H30:H32" si="8">+F30</f>
        <v>546000</v>
      </c>
      <c r="J30" s="38"/>
      <c r="M30" s="60"/>
    </row>
    <row r="31" spans="1:13">
      <c r="A31" s="52"/>
      <c r="B31" s="55" t="s">
        <v>76</v>
      </c>
      <c r="C31" s="55" t="s">
        <v>64</v>
      </c>
      <c r="D31" s="56">
        <v>1100</v>
      </c>
      <c r="E31" s="73">
        <v>360</v>
      </c>
      <c r="F31" s="57">
        <f t="shared" si="6"/>
        <v>396000</v>
      </c>
      <c r="G31" s="57">
        <f t="shared" si="7"/>
        <v>360</v>
      </c>
      <c r="H31" s="57">
        <f t="shared" si="8"/>
        <v>396000</v>
      </c>
      <c r="J31" s="38"/>
      <c r="M31" s="60"/>
    </row>
    <row r="32" spans="1:13">
      <c r="A32" s="52"/>
      <c r="B32" s="74" t="s">
        <v>77</v>
      </c>
      <c r="C32" s="55" t="s">
        <v>64</v>
      </c>
      <c r="D32" s="56">
        <v>1250</v>
      </c>
      <c r="E32" s="73">
        <v>1200</v>
      </c>
      <c r="F32" s="57">
        <f t="shared" si="6"/>
        <v>1500000</v>
      </c>
      <c r="G32" s="57">
        <f t="shared" si="7"/>
        <v>1200</v>
      </c>
      <c r="H32" s="57">
        <f t="shared" si="8"/>
        <v>1500000</v>
      </c>
      <c r="J32" s="38"/>
      <c r="M32" s="60"/>
    </row>
    <row r="33" spans="1:13">
      <c r="A33" s="90" t="s">
        <v>21</v>
      </c>
      <c r="B33" s="91" t="s">
        <v>79</v>
      </c>
      <c r="C33" s="85"/>
      <c r="D33" s="86"/>
      <c r="E33" s="92"/>
      <c r="F33" s="93">
        <f>SUM(F29:F32)</f>
        <v>5520000</v>
      </c>
      <c r="G33" s="93"/>
      <c r="H33" s="93">
        <f t="shared" ref="H33" si="9">SUM(H29:H32)</f>
        <v>5520000</v>
      </c>
      <c r="J33" s="38"/>
      <c r="M33" s="60"/>
    </row>
    <row r="34" spans="1:13">
      <c r="A34" s="90" t="s">
        <v>22</v>
      </c>
      <c r="B34" s="94" t="s">
        <v>30</v>
      </c>
      <c r="C34" s="90"/>
      <c r="D34" s="95"/>
      <c r="E34" s="96"/>
      <c r="F34" s="93">
        <f>+F33+F28+F24+F17</f>
        <v>19218000</v>
      </c>
      <c r="G34" s="93"/>
      <c r="H34" s="93">
        <f t="shared" ref="H34" si="10">+H33+H28+H24+H17</f>
        <v>75738000</v>
      </c>
      <c r="I34" s="37">
        <f>+F34*2%</f>
        <v>384360</v>
      </c>
      <c r="J34" s="38"/>
      <c r="M34" s="60"/>
    </row>
    <row r="35" spans="1:13">
      <c r="A35" s="98">
        <v>0</v>
      </c>
      <c r="B35" s="98">
        <v>1</v>
      </c>
      <c r="C35" s="98">
        <v>2</v>
      </c>
      <c r="D35" s="99">
        <v>3</v>
      </c>
      <c r="E35" s="98">
        <v>4</v>
      </c>
      <c r="F35" s="98">
        <v>5</v>
      </c>
      <c r="G35" s="98">
        <v>6</v>
      </c>
      <c r="H35" s="98">
        <v>7</v>
      </c>
      <c r="I35" s="37">
        <f>+F34-I34</f>
        <v>18833640</v>
      </c>
      <c r="J35" s="38"/>
      <c r="M35" s="60"/>
    </row>
    <row r="36" spans="1:13">
      <c r="A36" s="52"/>
      <c r="B36" s="53" t="s">
        <v>56</v>
      </c>
      <c r="C36" s="55" t="s">
        <v>57</v>
      </c>
      <c r="D36" s="56">
        <v>117612</v>
      </c>
      <c r="E36" s="58"/>
      <c r="F36" s="57" t="s">
        <v>78</v>
      </c>
      <c r="G36" s="59">
        <v>3</v>
      </c>
      <c r="H36" s="57">
        <f t="shared" ref="H36:H38" si="11">+G36*D36</f>
        <v>352836</v>
      </c>
      <c r="J36" s="38"/>
      <c r="M36" s="60"/>
    </row>
    <row r="37" spans="1:13">
      <c r="A37" s="52"/>
      <c r="B37" s="54" t="s">
        <v>58</v>
      </c>
      <c r="C37" s="55" t="s">
        <v>57</v>
      </c>
      <c r="D37" s="56">
        <v>137700</v>
      </c>
      <c r="E37" s="58"/>
      <c r="F37" s="57">
        <f t="shared" ref="F37:F38" si="12">+E37*D37</f>
        <v>0</v>
      </c>
      <c r="G37" s="59">
        <v>1</v>
      </c>
      <c r="H37" s="57">
        <f t="shared" si="11"/>
        <v>137700</v>
      </c>
      <c r="J37" s="38"/>
      <c r="M37" s="60"/>
    </row>
    <row r="38" spans="1:13">
      <c r="A38" s="52"/>
      <c r="B38" s="17" t="s">
        <v>26</v>
      </c>
      <c r="C38" s="18" t="s">
        <v>27</v>
      </c>
      <c r="D38" s="26">
        <v>650000</v>
      </c>
      <c r="E38" s="58">
        <v>1</v>
      </c>
      <c r="F38" s="57">
        <f t="shared" si="12"/>
        <v>650000</v>
      </c>
      <c r="G38" s="58">
        <v>5</v>
      </c>
      <c r="H38" s="57">
        <f t="shared" si="11"/>
        <v>3250000</v>
      </c>
      <c r="J38" s="39"/>
      <c r="M38" s="61"/>
    </row>
    <row r="39" spans="1:13">
      <c r="A39" s="11" t="s">
        <v>4</v>
      </c>
      <c r="B39" s="12" t="s">
        <v>28</v>
      </c>
      <c r="C39" s="11"/>
      <c r="D39" s="13"/>
      <c r="E39" s="14"/>
      <c r="F39" s="13">
        <f>SUM(F36:F38)</f>
        <v>650000</v>
      </c>
      <c r="G39" s="13"/>
      <c r="H39" s="13">
        <f t="shared" ref="H39" si="13">SUM(H36:H38)</f>
        <v>3740536</v>
      </c>
      <c r="M39" s="62"/>
    </row>
    <row r="40" spans="1:13">
      <c r="A40" s="11" t="s">
        <v>23</v>
      </c>
      <c r="B40" s="12" t="s">
        <v>31</v>
      </c>
      <c r="C40" s="11"/>
      <c r="D40" s="13"/>
      <c r="E40" s="14"/>
      <c r="F40" s="13">
        <f>+F39</f>
        <v>650000</v>
      </c>
      <c r="G40" s="13"/>
      <c r="H40" s="13">
        <f t="shared" ref="H40" si="14">+H39</f>
        <v>3740536</v>
      </c>
      <c r="J40" s="39"/>
      <c r="M40" s="63"/>
    </row>
    <row r="41" spans="1:13">
      <c r="A41" s="52"/>
      <c r="B41" s="97" t="s">
        <v>29</v>
      </c>
      <c r="C41" s="52"/>
      <c r="D41" s="72"/>
      <c r="E41" s="71"/>
      <c r="F41" s="57">
        <v>0</v>
      </c>
      <c r="G41" s="57"/>
      <c r="H41" s="57">
        <v>0</v>
      </c>
      <c r="I41" s="37">
        <f>+I35+F40</f>
        <v>19483640</v>
      </c>
      <c r="M41" s="63"/>
    </row>
    <row r="42" spans="1:13">
      <c r="A42" s="11" t="s">
        <v>24</v>
      </c>
      <c r="B42" s="12" t="s">
        <v>32</v>
      </c>
      <c r="C42" s="11"/>
      <c r="D42" s="13"/>
      <c r="E42" s="14"/>
      <c r="F42" s="13">
        <f>F34+F40</f>
        <v>19868000</v>
      </c>
      <c r="G42" s="13"/>
      <c r="H42" s="13">
        <f>H34+H40</f>
        <v>79478536</v>
      </c>
      <c r="I42" s="37">
        <f>+I41*0.1</f>
        <v>1948364</v>
      </c>
      <c r="J42" s="37">
        <v>1564490.87</v>
      </c>
      <c r="K42" s="37">
        <f>+I42-J42</f>
        <v>383873.12999999989</v>
      </c>
      <c r="M42" s="61"/>
    </row>
    <row r="43" spans="1:13">
      <c r="A43" s="11" t="s">
        <v>5</v>
      </c>
      <c r="B43" s="12" t="s">
        <v>3</v>
      </c>
      <c r="C43" s="11"/>
      <c r="D43" s="13"/>
      <c r="E43" s="14"/>
      <c r="F43" s="13">
        <f>+F41*0.1+F42*0.1</f>
        <v>1986800</v>
      </c>
      <c r="G43" s="13"/>
      <c r="H43" s="13">
        <f>+H41*0.1+H42*0.1</f>
        <v>7947853.6000000006</v>
      </c>
      <c r="I43" s="115">
        <f>+I41+I42</f>
        <v>21432004</v>
      </c>
      <c r="M43" s="60"/>
    </row>
    <row r="44" spans="1:13">
      <c r="A44" s="11" t="s">
        <v>82</v>
      </c>
      <c r="B44" s="12" t="s">
        <v>59</v>
      </c>
      <c r="C44" s="11"/>
      <c r="D44" s="13"/>
      <c r="E44" s="14"/>
      <c r="F44" s="13">
        <f>SUM(F41:F43)</f>
        <v>21854800</v>
      </c>
      <c r="G44" s="13"/>
      <c r="H44" s="13">
        <f>SUM(H41:H43)</f>
        <v>87426389.599999994</v>
      </c>
      <c r="I44" s="37">
        <f>+F44-I43</f>
        <v>422796</v>
      </c>
      <c r="M44" s="61"/>
    </row>
    <row r="45" spans="1:13">
      <c r="B45" s="4"/>
    </row>
    <row r="46" spans="1:13">
      <c r="B46" s="4" t="s">
        <v>34</v>
      </c>
      <c r="F46" s="227"/>
      <c r="G46" s="227"/>
    </row>
    <row r="47" spans="1:13">
      <c r="B47" s="65" t="s">
        <v>35</v>
      </c>
      <c r="E47" s="64" t="s">
        <v>36</v>
      </c>
      <c r="F47" s="28"/>
      <c r="G47" s="28"/>
    </row>
    <row r="48" spans="1:13">
      <c r="B48" s="65"/>
      <c r="F48" s="64"/>
      <c r="G48" s="64"/>
    </row>
    <row r="49" spans="2:7">
      <c r="B49" s="65" t="s">
        <v>51</v>
      </c>
      <c r="E49" s="64" t="s">
        <v>52</v>
      </c>
      <c r="F49" s="28"/>
      <c r="G49" s="28"/>
    </row>
    <row r="50" spans="2:7">
      <c r="B50" s="65"/>
      <c r="E50" s="64"/>
      <c r="F50" s="64"/>
      <c r="G50" s="64"/>
    </row>
    <row r="51" spans="2:7">
      <c r="B51" s="75" t="s">
        <v>40</v>
      </c>
      <c r="E51" s="64" t="s">
        <v>38</v>
      </c>
      <c r="F51" s="64"/>
      <c r="G51" s="64"/>
    </row>
    <row r="52" spans="2:7">
      <c r="B52" s="4" t="s">
        <v>41</v>
      </c>
      <c r="F52" s="64"/>
      <c r="G52" s="64"/>
    </row>
    <row r="54" spans="2:7">
      <c r="B54" s="7" t="s">
        <v>42</v>
      </c>
      <c r="E54" s="64" t="s">
        <v>43</v>
      </c>
    </row>
    <row r="56" spans="2:7">
      <c r="B56" s="4" t="s">
        <v>44</v>
      </c>
    </row>
    <row r="57" spans="2:7">
      <c r="B57" s="7" t="s">
        <v>45</v>
      </c>
      <c r="E57" s="64" t="s">
        <v>47</v>
      </c>
    </row>
    <row r="58" spans="2:7">
      <c r="E58" s="64"/>
    </row>
    <row r="59" spans="2:7">
      <c r="B59" s="7" t="s">
        <v>46</v>
      </c>
      <c r="E59" s="7" t="s">
        <v>48</v>
      </c>
    </row>
  </sheetData>
  <mergeCells count="14">
    <mergeCell ref="F46:G46"/>
    <mergeCell ref="A12:H12"/>
    <mergeCell ref="A13:A14"/>
    <mergeCell ref="B13:B14"/>
    <mergeCell ref="C13:C14"/>
    <mergeCell ref="D13:D14"/>
    <mergeCell ref="E13:F13"/>
    <mergeCell ref="G13:H13"/>
    <mergeCell ref="A10:H10"/>
    <mergeCell ref="A1:H1"/>
    <mergeCell ref="A2:H2"/>
    <mergeCell ref="A3:H3"/>
    <mergeCell ref="B6:H6"/>
    <mergeCell ref="B7:H7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8BEC-E306-437E-A683-CADC9D8B74A9}">
  <dimension ref="A1:M66"/>
  <sheetViews>
    <sheetView topLeftCell="A19" workbookViewId="0">
      <selection activeCell="D68" sqref="D68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25" t="s">
        <v>13</v>
      </c>
      <c r="B1" s="225"/>
      <c r="C1" s="225"/>
      <c r="D1" s="225"/>
      <c r="E1" s="225"/>
      <c r="F1" s="225"/>
      <c r="G1" s="225"/>
      <c r="H1" s="225"/>
    </row>
    <row r="2" spans="1:8">
      <c r="A2" s="225" t="s">
        <v>14</v>
      </c>
      <c r="B2" s="225"/>
      <c r="C2" s="225"/>
      <c r="D2" s="225"/>
      <c r="E2" s="225"/>
      <c r="F2" s="225"/>
      <c r="G2" s="225"/>
      <c r="H2" s="225"/>
    </row>
    <row r="3" spans="1:8">
      <c r="A3" s="225" t="s">
        <v>15</v>
      </c>
      <c r="B3" s="225"/>
      <c r="C3" s="225"/>
      <c r="D3" s="225"/>
      <c r="E3" s="225"/>
      <c r="F3" s="225"/>
      <c r="G3" s="225"/>
      <c r="H3" s="225"/>
    </row>
    <row r="6" spans="1:8">
      <c r="B6" s="226" t="s">
        <v>16</v>
      </c>
      <c r="C6" s="226"/>
      <c r="D6" s="226"/>
      <c r="E6" s="226"/>
      <c r="F6" s="226"/>
      <c r="G6" s="226"/>
      <c r="H6" s="226"/>
    </row>
    <row r="7" spans="1:8">
      <c r="B7" s="226" t="s">
        <v>12</v>
      </c>
      <c r="C7" s="226"/>
      <c r="D7" s="226"/>
      <c r="E7" s="226"/>
      <c r="F7" s="226"/>
      <c r="G7" s="226"/>
      <c r="H7" s="226"/>
    </row>
    <row r="8" spans="1:8">
      <c r="B8" s="101"/>
      <c r="C8" s="101"/>
      <c r="D8" s="101"/>
      <c r="F8" s="101" t="s">
        <v>17</v>
      </c>
    </row>
    <row r="9" spans="1:8">
      <c r="B9" s="101"/>
      <c r="C9" s="101"/>
      <c r="D9" s="101"/>
      <c r="E9" s="101"/>
      <c r="F9" s="101"/>
    </row>
    <row r="10" spans="1:8">
      <c r="A10" s="225" t="s">
        <v>83</v>
      </c>
      <c r="B10" s="225"/>
      <c r="C10" s="225"/>
      <c r="D10" s="225"/>
      <c r="E10" s="225"/>
      <c r="F10" s="225"/>
      <c r="G10" s="225"/>
      <c r="H10" s="225"/>
    </row>
    <row r="11" spans="1:8">
      <c r="A11" s="100"/>
      <c r="B11" s="100"/>
      <c r="C11" s="100"/>
      <c r="D11" s="100"/>
      <c r="E11" s="100"/>
      <c r="F11" s="100"/>
      <c r="G11" s="100"/>
      <c r="H11" s="100"/>
    </row>
    <row r="12" spans="1:8">
      <c r="A12" s="225" t="s">
        <v>18</v>
      </c>
      <c r="B12" s="225"/>
      <c r="C12" s="225"/>
      <c r="D12" s="225"/>
      <c r="E12" s="225"/>
      <c r="F12" s="225"/>
      <c r="G12" s="225"/>
      <c r="H12" s="225"/>
    </row>
    <row r="13" spans="1:8">
      <c r="A13" s="228" t="s">
        <v>11</v>
      </c>
      <c r="B13" s="228" t="s">
        <v>1</v>
      </c>
      <c r="C13" s="229" t="s">
        <v>7</v>
      </c>
      <c r="D13" s="229" t="s">
        <v>8</v>
      </c>
      <c r="E13" s="231" t="s">
        <v>9</v>
      </c>
      <c r="F13" s="231"/>
      <c r="G13" s="231" t="s">
        <v>10</v>
      </c>
      <c r="H13" s="231"/>
    </row>
    <row r="14" spans="1:8">
      <c r="A14" s="228"/>
      <c r="B14" s="228"/>
      <c r="C14" s="230"/>
      <c r="D14" s="230"/>
      <c r="E14" s="103" t="s">
        <v>2</v>
      </c>
      <c r="F14" s="103" t="s">
        <v>0</v>
      </c>
      <c r="G14" s="103" t="s">
        <v>2</v>
      </c>
      <c r="H14" s="103" t="s">
        <v>0</v>
      </c>
    </row>
    <row r="15" spans="1:8">
      <c r="A15" s="103">
        <v>0</v>
      </c>
      <c r="B15" s="103">
        <v>1</v>
      </c>
      <c r="C15" s="104">
        <v>2</v>
      </c>
      <c r="D15" s="104">
        <v>3</v>
      </c>
      <c r="E15" s="103">
        <v>4</v>
      </c>
      <c r="F15" s="103">
        <v>5</v>
      </c>
      <c r="G15" s="103">
        <v>6</v>
      </c>
      <c r="H15" s="103">
        <v>7</v>
      </c>
    </row>
    <row r="16" spans="1:8">
      <c r="A16" s="103"/>
      <c r="B16" s="74" t="s">
        <v>61</v>
      </c>
      <c r="C16" s="55" t="s">
        <v>62</v>
      </c>
      <c r="D16" s="56">
        <v>56000</v>
      </c>
      <c r="E16" s="103"/>
      <c r="F16" s="70">
        <f>+E16*D16</f>
        <v>0</v>
      </c>
      <c r="G16" s="103">
        <v>60</v>
      </c>
      <c r="H16" s="70">
        <f>+G16*D16</f>
        <v>3360000</v>
      </c>
    </row>
    <row r="17" spans="1:8">
      <c r="A17" s="80" t="s">
        <v>80</v>
      </c>
      <c r="B17" s="81" t="s">
        <v>63</v>
      </c>
      <c r="C17" s="82"/>
      <c r="D17" s="82"/>
      <c r="E17" s="80"/>
      <c r="F17" s="83">
        <f>+F16</f>
        <v>0</v>
      </c>
      <c r="G17" s="83"/>
      <c r="H17" s="83">
        <f t="shared" ref="H17" si="0">+H16</f>
        <v>3360000</v>
      </c>
    </row>
    <row r="18" spans="1:8">
      <c r="A18" s="103"/>
      <c r="B18" s="74" t="s">
        <v>65</v>
      </c>
      <c r="C18" s="55" t="s">
        <v>64</v>
      </c>
      <c r="D18" s="56">
        <v>38400</v>
      </c>
      <c r="E18" s="103">
        <v>15</v>
      </c>
      <c r="F18" s="70">
        <f>+E18*D18</f>
        <v>576000</v>
      </c>
      <c r="G18" s="70">
        <v>30</v>
      </c>
      <c r="H18" s="70">
        <f>+G18*D18</f>
        <v>1152000</v>
      </c>
    </row>
    <row r="19" spans="1:8">
      <c r="A19" s="103"/>
      <c r="B19" s="74" t="s">
        <v>66</v>
      </c>
      <c r="C19" s="55" t="s">
        <v>64</v>
      </c>
      <c r="D19" s="56">
        <v>47500</v>
      </c>
      <c r="E19" s="103">
        <v>10</v>
      </c>
      <c r="F19" s="70">
        <f>+E19*D19</f>
        <v>475000</v>
      </c>
      <c r="G19" s="70">
        <v>40</v>
      </c>
      <c r="H19" s="70">
        <f>+G19*D19</f>
        <v>1900000</v>
      </c>
    </row>
    <row r="20" spans="1:8" ht="27.6">
      <c r="A20" s="80" t="s">
        <v>81</v>
      </c>
      <c r="B20" s="84" t="s">
        <v>70</v>
      </c>
      <c r="C20" s="85"/>
      <c r="D20" s="86"/>
      <c r="E20" s="80"/>
      <c r="F20" s="83">
        <f>SUM(F18:F19)</f>
        <v>1051000</v>
      </c>
      <c r="G20" s="83"/>
      <c r="H20" s="83">
        <f t="shared" ref="H20" si="1">SUM(H18:H19)</f>
        <v>3052000</v>
      </c>
    </row>
    <row r="21" spans="1:8">
      <c r="A21" s="58"/>
      <c r="B21" s="74" t="s">
        <v>84</v>
      </c>
      <c r="C21" s="105" t="s">
        <v>85</v>
      </c>
      <c r="D21" s="106">
        <v>42500</v>
      </c>
      <c r="E21" s="58">
        <v>35</v>
      </c>
      <c r="F21" s="107">
        <f>+E21*D21</f>
        <v>1487500</v>
      </c>
      <c r="G21" s="107">
        <f>+E21</f>
        <v>35</v>
      </c>
      <c r="H21" s="107">
        <f>+F21</f>
        <v>1487500</v>
      </c>
    </row>
    <row r="22" spans="1:8">
      <c r="A22" s="58"/>
      <c r="B22" s="74" t="s">
        <v>86</v>
      </c>
      <c r="C22" s="105" t="s">
        <v>87</v>
      </c>
      <c r="D22" s="106">
        <v>35000</v>
      </c>
      <c r="E22" s="58">
        <v>12</v>
      </c>
      <c r="F22" s="107">
        <f t="shared" ref="F22:F24" si="2">+E22*D22</f>
        <v>420000</v>
      </c>
      <c r="G22" s="107">
        <f t="shared" ref="G22:G24" si="3">+E22</f>
        <v>12</v>
      </c>
      <c r="H22" s="107">
        <f t="shared" ref="H22:H24" si="4">+F22</f>
        <v>420000</v>
      </c>
    </row>
    <row r="23" spans="1:8">
      <c r="A23" s="58"/>
      <c r="B23" s="74" t="s">
        <v>88</v>
      </c>
      <c r="C23" s="105" t="s">
        <v>85</v>
      </c>
      <c r="D23" s="106">
        <v>12500</v>
      </c>
      <c r="E23" s="58">
        <v>10</v>
      </c>
      <c r="F23" s="107">
        <f t="shared" si="2"/>
        <v>125000</v>
      </c>
      <c r="G23" s="107">
        <f t="shared" si="3"/>
        <v>10</v>
      </c>
      <c r="H23" s="107">
        <f t="shared" si="4"/>
        <v>125000</v>
      </c>
    </row>
    <row r="24" spans="1:8">
      <c r="A24" s="58"/>
      <c r="B24" s="74" t="s">
        <v>89</v>
      </c>
      <c r="C24" s="105" t="s">
        <v>85</v>
      </c>
      <c r="D24" s="106">
        <v>11500</v>
      </c>
      <c r="E24" s="58">
        <v>53</v>
      </c>
      <c r="F24" s="107">
        <f t="shared" si="2"/>
        <v>609500</v>
      </c>
      <c r="G24" s="107">
        <f t="shared" si="3"/>
        <v>53</v>
      </c>
      <c r="H24" s="107">
        <f t="shared" si="4"/>
        <v>609500</v>
      </c>
    </row>
    <row r="25" spans="1:8">
      <c r="A25" s="80" t="s">
        <v>20</v>
      </c>
      <c r="B25" s="84" t="s">
        <v>93</v>
      </c>
      <c r="C25" s="85"/>
      <c r="D25" s="86"/>
      <c r="E25" s="80"/>
      <c r="F25" s="83">
        <f>SUM(F21:F24)</f>
        <v>2642000</v>
      </c>
      <c r="G25" s="83"/>
      <c r="H25" s="83">
        <f t="shared" ref="H25" si="5">SUM(H21:H24)</f>
        <v>2642000</v>
      </c>
    </row>
    <row r="26" spans="1:8">
      <c r="A26" s="58"/>
      <c r="B26" s="76" t="s">
        <v>90</v>
      </c>
      <c r="C26" s="108" t="s">
        <v>67</v>
      </c>
      <c r="D26" s="109">
        <v>9150</v>
      </c>
      <c r="E26" s="58">
        <v>10</v>
      </c>
      <c r="F26" s="70">
        <f t="shared" ref="F26:F28" si="6">+D26*E26</f>
        <v>91500</v>
      </c>
      <c r="G26" s="107">
        <v>10</v>
      </c>
      <c r="H26" s="70">
        <f t="shared" ref="H26:H28" si="7">+G26*D26</f>
        <v>91500</v>
      </c>
    </row>
    <row r="27" spans="1:8">
      <c r="A27" s="58"/>
      <c r="B27" s="76" t="s">
        <v>92</v>
      </c>
      <c r="C27" s="108" t="s">
        <v>67</v>
      </c>
      <c r="D27" s="109">
        <v>11500</v>
      </c>
      <c r="E27" s="58">
        <v>3</v>
      </c>
      <c r="F27" s="70">
        <f t="shared" si="6"/>
        <v>34500</v>
      </c>
      <c r="G27" s="107">
        <v>3</v>
      </c>
      <c r="H27" s="70">
        <f t="shared" si="7"/>
        <v>34500</v>
      </c>
    </row>
    <row r="28" spans="1:8">
      <c r="A28" s="58"/>
      <c r="B28" s="76" t="s">
        <v>91</v>
      </c>
      <c r="C28" s="108" t="s">
        <v>67</v>
      </c>
      <c r="D28" s="109">
        <v>4600</v>
      </c>
      <c r="E28" s="58">
        <v>12</v>
      </c>
      <c r="F28" s="70">
        <f t="shared" si="6"/>
        <v>55200</v>
      </c>
      <c r="G28" s="107">
        <v>12</v>
      </c>
      <c r="H28" s="70">
        <f t="shared" si="7"/>
        <v>55200</v>
      </c>
    </row>
    <row r="29" spans="1:8">
      <c r="A29" s="103"/>
      <c r="B29" s="76" t="s">
        <v>68</v>
      </c>
      <c r="C29" s="77" t="s">
        <v>67</v>
      </c>
      <c r="D29" s="78">
        <v>5500</v>
      </c>
      <c r="E29" s="103">
        <v>10</v>
      </c>
      <c r="F29" s="70">
        <f>+D29*E29</f>
        <v>55000</v>
      </c>
      <c r="G29" s="70">
        <v>40</v>
      </c>
      <c r="H29" s="70">
        <f>+G29*D29</f>
        <v>220000</v>
      </c>
    </row>
    <row r="30" spans="1:8">
      <c r="A30" s="103"/>
      <c r="B30" s="76" t="s">
        <v>69</v>
      </c>
      <c r="C30" s="77" t="s">
        <v>67</v>
      </c>
      <c r="D30" s="78">
        <v>4200</v>
      </c>
      <c r="E30" s="103">
        <v>24</v>
      </c>
      <c r="F30" s="70">
        <f>+D30*E30</f>
        <v>100800</v>
      </c>
      <c r="G30" s="70">
        <v>109</v>
      </c>
      <c r="H30" s="70">
        <f>+G30*D30</f>
        <v>457800</v>
      </c>
    </row>
    <row r="31" spans="1:8">
      <c r="A31" s="80" t="s">
        <v>21</v>
      </c>
      <c r="B31" s="87" t="s">
        <v>71</v>
      </c>
      <c r="C31" s="88"/>
      <c r="D31" s="89"/>
      <c r="E31" s="80"/>
      <c r="F31" s="83">
        <f>SUM(F26:F30)</f>
        <v>337000</v>
      </c>
      <c r="G31" s="83"/>
      <c r="H31" s="83">
        <f>SUM(H26:H30)</f>
        <v>859000</v>
      </c>
    </row>
    <row r="32" spans="1:8">
      <c r="A32" s="80" t="s">
        <v>22</v>
      </c>
      <c r="B32" s="87" t="s">
        <v>72</v>
      </c>
      <c r="C32" s="88"/>
      <c r="D32" s="89"/>
      <c r="E32" s="80"/>
      <c r="F32" s="83">
        <f>+F31+F20+F25</f>
        <v>4030000</v>
      </c>
      <c r="G32" s="83"/>
      <c r="H32" s="83">
        <f t="shared" ref="H32" si="8">+H31+H20+H25</f>
        <v>6553000</v>
      </c>
    </row>
    <row r="33" spans="1:13">
      <c r="A33" s="103"/>
      <c r="B33" s="50" t="s">
        <v>54</v>
      </c>
      <c r="C33" s="104" t="s">
        <v>55</v>
      </c>
      <c r="D33" s="51">
        <v>50000</v>
      </c>
      <c r="E33" s="103"/>
      <c r="F33" s="9">
        <f t="shared" ref="F33:F35" si="9">E33*D33</f>
        <v>0</v>
      </c>
      <c r="G33" s="103">
        <v>30</v>
      </c>
      <c r="H33" s="9">
        <f>G33*D33</f>
        <v>1500000</v>
      </c>
    </row>
    <row r="34" spans="1:13">
      <c r="A34" s="103"/>
      <c r="B34" s="74" t="s">
        <v>73</v>
      </c>
      <c r="C34" s="55" t="s">
        <v>62</v>
      </c>
      <c r="D34" s="56">
        <v>11500</v>
      </c>
      <c r="E34" s="103">
        <v>660</v>
      </c>
      <c r="F34" s="9">
        <f>+E34*D34</f>
        <v>7590000</v>
      </c>
      <c r="G34" s="103">
        <v>770</v>
      </c>
      <c r="H34" s="9">
        <f t="shared" ref="H34:H35" si="10">G34*D34</f>
        <v>8855000</v>
      </c>
    </row>
    <row r="35" spans="1:13">
      <c r="A35" s="103"/>
      <c r="B35" s="8" t="s">
        <v>25</v>
      </c>
      <c r="C35" s="103" t="s">
        <v>19</v>
      </c>
      <c r="D35" s="24">
        <v>65500</v>
      </c>
      <c r="E35" s="103"/>
      <c r="F35" s="9">
        <f t="shared" si="9"/>
        <v>0</v>
      </c>
      <c r="G35" s="103">
        <v>940</v>
      </c>
      <c r="H35" s="9">
        <f t="shared" si="10"/>
        <v>61570000</v>
      </c>
    </row>
    <row r="36" spans="1:13">
      <c r="A36" s="11" t="s">
        <v>4</v>
      </c>
      <c r="B36" s="79" t="s">
        <v>0</v>
      </c>
      <c r="C36" s="1"/>
      <c r="D36" s="25"/>
      <c r="E36" s="14"/>
      <c r="F36" s="13">
        <f>+F34+F35</f>
        <v>7590000</v>
      </c>
      <c r="G36" s="13"/>
      <c r="H36" s="13">
        <f>+H33+H34+H35</f>
        <v>71925000</v>
      </c>
    </row>
    <row r="37" spans="1:13">
      <c r="A37" s="52"/>
      <c r="B37" s="74" t="s">
        <v>74</v>
      </c>
      <c r="C37" s="55" t="s">
        <v>64</v>
      </c>
      <c r="D37" s="56">
        <v>950</v>
      </c>
      <c r="E37" s="73">
        <v>1250</v>
      </c>
      <c r="F37" s="57">
        <f>+E37*D37</f>
        <v>1187500</v>
      </c>
      <c r="G37" s="57">
        <v>4490</v>
      </c>
      <c r="H37" s="57">
        <f>+G37*D37</f>
        <v>4265500</v>
      </c>
      <c r="J37" s="38"/>
      <c r="M37" s="60"/>
    </row>
    <row r="38" spans="1:13">
      <c r="A38" s="52"/>
      <c r="B38" s="74" t="s">
        <v>75</v>
      </c>
      <c r="C38" s="55" t="s">
        <v>64</v>
      </c>
      <c r="D38" s="56">
        <v>1050</v>
      </c>
      <c r="E38" s="73">
        <v>1985</v>
      </c>
      <c r="F38" s="57">
        <f t="shared" ref="F38:F40" si="11">+E38*D38</f>
        <v>2084250</v>
      </c>
      <c r="G38" s="57">
        <v>2505</v>
      </c>
      <c r="H38" s="57">
        <f t="shared" ref="H38:H40" si="12">+G38*D38</f>
        <v>2630250</v>
      </c>
      <c r="J38" s="38"/>
      <c r="M38" s="60"/>
    </row>
    <row r="39" spans="1:13">
      <c r="A39" s="52"/>
      <c r="B39" s="55" t="s">
        <v>76</v>
      </c>
      <c r="C39" s="55" t="s">
        <v>64</v>
      </c>
      <c r="D39" s="56">
        <v>1100</v>
      </c>
      <c r="E39" s="73"/>
      <c r="F39" s="57">
        <f t="shared" si="11"/>
        <v>0</v>
      </c>
      <c r="G39" s="57">
        <v>360</v>
      </c>
      <c r="H39" s="57">
        <f t="shared" si="12"/>
        <v>396000</v>
      </c>
      <c r="J39" s="38"/>
      <c r="M39" s="60"/>
    </row>
    <row r="40" spans="1:13">
      <c r="A40" s="52"/>
      <c r="B40" s="74" t="s">
        <v>77</v>
      </c>
      <c r="C40" s="55" t="s">
        <v>64</v>
      </c>
      <c r="D40" s="56">
        <v>1250</v>
      </c>
      <c r="E40" s="73">
        <v>1200</v>
      </c>
      <c r="F40" s="57">
        <f t="shared" si="11"/>
        <v>1500000</v>
      </c>
      <c r="G40" s="57">
        <v>2400</v>
      </c>
      <c r="H40" s="57">
        <f t="shared" si="12"/>
        <v>3000000</v>
      </c>
      <c r="J40" s="38"/>
      <c r="M40" s="60"/>
    </row>
    <row r="41" spans="1:13">
      <c r="A41" s="90" t="s">
        <v>23</v>
      </c>
      <c r="B41" s="91" t="s">
        <v>79</v>
      </c>
      <c r="C41" s="85"/>
      <c r="D41" s="86"/>
      <c r="E41" s="92"/>
      <c r="F41" s="93">
        <f>SUM(F37:F40)</f>
        <v>4771750</v>
      </c>
      <c r="G41" s="93"/>
      <c r="H41" s="93">
        <f t="shared" ref="H41" si="13">SUM(H37:H40)</f>
        <v>10291750</v>
      </c>
      <c r="J41" s="38"/>
      <c r="M41" s="60"/>
    </row>
    <row r="42" spans="1:13">
      <c r="A42" s="90" t="s">
        <v>24</v>
      </c>
      <c r="B42" s="94" t="s">
        <v>30</v>
      </c>
      <c r="C42" s="90"/>
      <c r="D42" s="95"/>
      <c r="E42" s="96"/>
      <c r="F42" s="93">
        <f>+F41+F36+F32+F17</f>
        <v>16391750</v>
      </c>
      <c r="G42" s="93"/>
      <c r="H42" s="93">
        <f>+H41+H36+H32+H17</f>
        <v>92129750</v>
      </c>
      <c r="I42" s="37">
        <f>+F42*2%</f>
        <v>327835</v>
      </c>
      <c r="J42" s="38"/>
      <c r="M42" s="60"/>
    </row>
    <row r="43" spans="1:13">
      <c r="A43" s="52"/>
      <c r="B43" s="53" t="s">
        <v>56</v>
      </c>
      <c r="C43" s="55" t="s">
        <v>57</v>
      </c>
      <c r="D43" s="56">
        <v>117612</v>
      </c>
      <c r="E43" s="58"/>
      <c r="F43" s="57" t="s">
        <v>78</v>
      </c>
      <c r="G43" s="59">
        <v>3</v>
      </c>
      <c r="H43" s="57">
        <f>+G43*D43</f>
        <v>352836</v>
      </c>
      <c r="I43" s="37">
        <f>+F42-I42</f>
        <v>16063915</v>
      </c>
      <c r="J43" s="38"/>
      <c r="M43" s="60"/>
    </row>
    <row r="44" spans="1:13">
      <c r="A44" s="52"/>
      <c r="B44" s="54" t="s">
        <v>58</v>
      </c>
      <c r="C44" s="55" t="s">
        <v>57</v>
      </c>
      <c r="D44" s="56">
        <v>137700</v>
      </c>
      <c r="E44" s="58"/>
      <c r="F44" s="57">
        <f t="shared" ref="F44:F45" si="14">+E44*D44</f>
        <v>0</v>
      </c>
      <c r="G44" s="59">
        <v>1</v>
      </c>
      <c r="H44" s="57">
        <f t="shared" ref="H44:H45" si="15">+G44*D44</f>
        <v>137700</v>
      </c>
      <c r="I44" s="37">
        <f>+F46</f>
        <v>650000</v>
      </c>
      <c r="J44" s="38"/>
      <c r="M44" s="60"/>
    </row>
    <row r="45" spans="1:13">
      <c r="A45" s="52"/>
      <c r="B45" s="17" t="s">
        <v>26</v>
      </c>
      <c r="C45" s="18" t="s">
        <v>27</v>
      </c>
      <c r="D45" s="26">
        <v>650000</v>
      </c>
      <c r="E45" s="58">
        <v>1</v>
      </c>
      <c r="F45" s="57">
        <f t="shared" si="14"/>
        <v>650000</v>
      </c>
      <c r="G45" s="58">
        <v>6</v>
      </c>
      <c r="H45" s="57">
        <f t="shared" si="15"/>
        <v>3900000</v>
      </c>
      <c r="I45" s="37">
        <f>+I44+I43</f>
        <v>16713915</v>
      </c>
      <c r="J45" s="39"/>
      <c r="M45" s="61"/>
    </row>
    <row r="46" spans="1:13">
      <c r="A46" s="11" t="s">
        <v>5</v>
      </c>
      <c r="B46" s="12" t="s">
        <v>28</v>
      </c>
      <c r="C46" s="11"/>
      <c r="D46" s="13"/>
      <c r="E46" s="14"/>
      <c r="F46" s="13">
        <f>SUM(F43:F45)</f>
        <v>650000</v>
      </c>
      <c r="G46" s="13"/>
      <c r="H46" s="13">
        <f t="shared" ref="H46" si="16">SUM(H43:H45)</f>
        <v>4390536</v>
      </c>
      <c r="I46" s="37">
        <f>+I45*0.1</f>
        <v>1671391.5</v>
      </c>
      <c r="M46" s="62"/>
    </row>
    <row r="47" spans="1:13">
      <c r="A47" s="11" t="s">
        <v>82</v>
      </c>
      <c r="B47" s="12" t="s">
        <v>31</v>
      </c>
      <c r="C47" s="11"/>
      <c r="D47" s="13"/>
      <c r="E47" s="14"/>
      <c r="F47" s="13">
        <f>+F46</f>
        <v>650000</v>
      </c>
      <c r="G47" s="13"/>
      <c r="H47" s="13">
        <f t="shared" ref="H47" si="17">+H46</f>
        <v>4390536</v>
      </c>
      <c r="I47" s="115">
        <f>+I46+I45</f>
        <v>18385306.5</v>
      </c>
      <c r="J47" s="39"/>
      <c r="M47" s="63"/>
    </row>
    <row r="48" spans="1:13">
      <c r="A48" s="52"/>
      <c r="B48" s="97" t="s">
        <v>29</v>
      </c>
      <c r="C48" s="52"/>
      <c r="D48" s="72"/>
      <c r="E48" s="71"/>
      <c r="F48" s="57">
        <v>0</v>
      </c>
      <c r="G48" s="57"/>
      <c r="H48" s="57">
        <v>0</v>
      </c>
      <c r="M48" s="63"/>
    </row>
    <row r="49" spans="1:13">
      <c r="A49" s="11" t="s">
        <v>94</v>
      </c>
      <c r="B49" s="12" t="s">
        <v>32</v>
      </c>
      <c r="C49" s="11"/>
      <c r="D49" s="13"/>
      <c r="E49" s="14"/>
      <c r="F49" s="13">
        <f>F42+F47</f>
        <v>17041750</v>
      </c>
      <c r="G49" s="13"/>
      <c r="H49" s="13">
        <f>H42+H47</f>
        <v>96520286</v>
      </c>
      <c r="M49" s="61"/>
    </row>
    <row r="50" spans="1:13">
      <c r="A50" s="11" t="s">
        <v>95</v>
      </c>
      <c r="B50" s="12" t="s">
        <v>3</v>
      </c>
      <c r="C50" s="11"/>
      <c r="D50" s="13"/>
      <c r="E50" s="14"/>
      <c r="F50" s="13">
        <f>+F48*0.1+F49*0.1</f>
        <v>1704175</v>
      </c>
      <c r="G50" s="13"/>
      <c r="H50" s="13">
        <f>+H48*0.1+H49*0.1</f>
        <v>9652028.5999999996</v>
      </c>
      <c r="M50" s="60"/>
    </row>
    <row r="51" spans="1:13">
      <c r="A51" s="11" t="s">
        <v>96</v>
      </c>
      <c r="B51" s="12" t="s">
        <v>59</v>
      </c>
      <c r="C51" s="11"/>
      <c r="D51" s="13"/>
      <c r="E51" s="14"/>
      <c r="F51" s="13">
        <f>SUM(F48:F50)</f>
        <v>18745925</v>
      </c>
      <c r="G51" s="13"/>
      <c r="H51" s="13">
        <f>SUM(H48:H50)</f>
        <v>106172314.59999999</v>
      </c>
      <c r="M51" s="61"/>
    </row>
    <row r="52" spans="1:13">
      <c r="B52" s="4"/>
    </row>
    <row r="53" spans="1:13">
      <c r="B53" s="4" t="s">
        <v>34</v>
      </c>
      <c r="F53" s="227"/>
      <c r="G53" s="227"/>
    </row>
    <row r="54" spans="1:13">
      <c r="B54" s="100" t="s">
        <v>35</v>
      </c>
      <c r="E54" s="102" t="s">
        <v>36</v>
      </c>
      <c r="F54" s="28"/>
      <c r="G54" s="28"/>
    </row>
    <row r="55" spans="1:13">
      <c r="B55" s="100"/>
      <c r="F55" s="102"/>
      <c r="G55" s="102"/>
    </row>
    <row r="56" spans="1:13">
      <c r="B56" s="100" t="s">
        <v>51</v>
      </c>
      <c r="E56" s="102" t="s">
        <v>52</v>
      </c>
      <c r="F56" s="28"/>
      <c r="G56" s="28"/>
    </row>
    <row r="57" spans="1:13">
      <c r="B57" s="100"/>
      <c r="E57" s="102"/>
      <c r="F57" s="102"/>
      <c r="G57" s="102"/>
    </row>
    <row r="58" spans="1:13">
      <c r="B58" s="75" t="s">
        <v>40</v>
      </c>
      <c r="E58" s="102" t="s">
        <v>38</v>
      </c>
      <c r="F58" s="102"/>
      <c r="G58" s="102"/>
    </row>
    <row r="59" spans="1:13">
      <c r="B59" s="4" t="s">
        <v>41</v>
      </c>
      <c r="F59" s="102"/>
      <c r="G59" s="102"/>
    </row>
    <row r="61" spans="1:13">
      <c r="B61" s="7" t="s">
        <v>42</v>
      </c>
      <c r="E61" s="102" t="s">
        <v>43</v>
      </c>
    </row>
    <row r="63" spans="1:13">
      <c r="B63" s="4" t="s">
        <v>44</v>
      </c>
    </row>
    <row r="64" spans="1:13">
      <c r="B64" s="7" t="s">
        <v>45</v>
      </c>
      <c r="E64" s="102" t="s">
        <v>47</v>
      </c>
    </row>
    <row r="65" spans="2:5">
      <c r="E65" s="102"/>
    </row>
    <row r="66" spans="2:5">
      <c r="B66" s="7" t="s">
        <v>46</v>
      </c>
      <c r="E66" s="7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53:G53"/>
    <mergeCell ref="A12:H12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FF40-9879-427F-8205-7DE0C1049BBE}">
  <dimension ref="B1:N80"/>
  <sheetViews>
    <sheetView topLeftCell="A25" workbookViewId="0">
      <selection activeCell="I46" sqref="I46"/>
    </sheetView>
  </sheetViews>
  <sheetFormatPr defaultColWidth="9" defaultRowHeight="13.8"/>
  <cols>
    <col min="1" max="1" width="6.796875" style="7" customWidth="1"/>
    <col min="2" max="2" width="5.69921875" style="2" customWidth="1"/>
    <col min="3" max="3" width="42.69921875" style="7" customWidth="1"/>
    <col min="4" max="4" width="10.796875" style="7" customWidth="1"/>
    <col min="5" max="5" width="11" style="7" customWidth="1"/>
    <col min="6" max="6" width="10.3984375" style="7" customWidth="1"/>
    <col min="7" max="7" width="13.19921875" style="7" customWidth="1"/>
    <col min="8" max="8" width="9.8984375" style="63" customWidth="1"/>
    <col min="9" max="9" width="15.3984375" style="7" customWidth="1"/>
    <col min="10" max="10" width="14" style="37" customWidth="1"/>
    <col min="11" max="11" width="13.69921875" style="7" bestFit="1" customWidth="1"/>
    <col min="12" max="13" width="9" style="7"/>
    <col min="14" max="14" width="14" style="7" customWidth="1"/>
    <col min="15" max="16384" width="9" style="7"/>
  </cols>
  <sheetData>
    <row r="1" spans="2:9">
      <c r="B1" s="225" t="s">
        <v>13</v>
      </c>
      <c r="C1" s="225"/>
      <c r="D1" s="225"/>
      <c r="E1" s="225"/>
      <c r="F1" s="225"/>
      <c r="G1" s="225"/>
      <c r="H1" s="225"/>
      <c r="I1" s="225"/>
    </row>
    <row r="2" spans="2:9">
      <c r="B2" s="225" t="s">
        <v>14</v>
      </c>
      <c r="C2" s="225"/>
      <c r="D2" s="225"/>
      <c r="E2" s="225"/>
      <c r="F2" s="225"/>
      <c r="G2" s="225"/>
      <c r="H2" s="225"/>
      <c r="I2" s="225"/>
    </row>
    <row r="3" spans="2:9">
      <c r="B3" s="225" t="s">
        <v>15</v>
      </c>
      <c r="C3" s="225"/>
      <c r="D3" s="225"/>
      <c r="E3" s="225"/>
      <c r="F3" s="225"/>
      <c r="G3" s="225"/>
      <c r="H3" s="225"/>
      <c r="I3" s="225"/>
    </row>
    <row r="6" spans="2:9">
      <c r="C6" s="226" t="s">
        <v>16</v>
      </c>
      <c r="D6" s="226"/>
      <c r="E6" s="226"/>
      <c r="F6" s="226"/>
      <c r="G6" s="226"/>
      <c r="H6" s="226"/>
      <c r="I6" s="226"/>
    </row>
    <row r="7" spans="2:9">
      <c r="C7" s="226" t="s">
        <v>12</v>
      </c>
      <c r="D7" s="226"/>
      <c r="E7" s="226"/>
      <c r="F7" s="226"/>
      <c r="G7" s="226"/>
      <c r="H7" s="226"/>
      <c r="I7" s="226"/>
    </row>
    <row r="8" spans="2:9">
      <c r="C8" s="111"/>
      <c r="D8" s="111"/>
      <c r="E8" s="111"/>
      <c r="G8" s="111" t="s">
        <v>17</v>
      </c>
    </row>
    <row r="9" spans="2:9">
      <c r="C9" s="111"/>
      <c r="D9" s="111"/>
      <c r="E9" s="111"/>
      <c r="F9" s="111"/>
      <c r="G9" s="111"/>
    </row>
    <row r="10" spans="2:9">
      <c r="B10" s="225" t="s">
        <v>97</v>
      </c>
      <c r="C10" s="225"/>
      <c r="D10" s="225"/>
      <c r="E10" s="225"/>
      <c r="F10" s="225"/>
      <c r="G10" s="225"/>
      <c r="H10" s="225"/>
      <c r="I10" s="225"/>
    </row>
    <row r="11" spans="2:9">
      <c r="B11" s="110"/>
      <c r="C11" s="110"/>
      <c r="D11" s="110"/>
      <c r="E11" s="110"/>
      <c r="F11" s="110"/>
      <c r="G11" s="110"/>
      <c r="I11" s="110"/>
    </row>
    <row r="12" spans="2:9">
      <c r="B12" s="225" t="s">
        <v>18</v>
      </c>
      <c r="C12" s="225"/>
      <c r="D12" s="225"/>
      <c r="E12" s="225"/>
      <c r="F12" s="225"/>
      <c r="G12" s="225"/>
      <c r="H12" s="225"/>
      <c r="I12" s="225"/>
    </row>
    <row r="13" spans="2:9">
      <c r="B13" s="228" t="s">
        <v>11</v>
      </c>
      <c r="C13" s="228" t="s">
        <v>1</v>
      </c>
      <c r="D13" s="229" t="s">
        <v>7</v>
      </c>
      <c r="E13" s="229" t="s">
        <v>8</v>
      </c>
      <c r="F13" s="231" t="s">
        <v>9</v>
      </c>
      <c r="G13" s="231"/>
      <c r="H13" s="231" t="s">
        <v>10</v>
      </c>
      <c r="I13" s="231"/>
    </row>
    <row r="14" spans="2:9">
      <c r="B14" s="228"/>
      <c r="C14" s="228"/>
      <c r="D14" s="230"/>
      <c r="E14" s="230"/>
      <c r="F14" s="113" t="s">
        <v>2</v>
      </c>
      <c r="G14" s="113" t="s">
        <v>0</v>
      </c>
      <c r="H14" s="113" t="s">
        <v>2</v>
      </c>
      <c r="I14" s="113" t="s">
        <v>0</v>
      </c>
    </row>
    <row r="15" spans="2:9">
      <c r="B15" s="113">
        <v>0</v>
      </c>
      <c r="C15" s="113">
        <v>1</v>
      </c>
      <c r="D15" s="114">
        <v>2</v>
      </c>
      <c r="E15" s="114">
        <v>3</v>
      </c>
      <c r="F15" s="113">
        <v>4</v>
      </c>
      <c r="G15" s="113">
        <v>5</v>
      </c>
      <c r="H15" s="113">
        <v>6</v>
      </c>
      <c r="I15" s="113">
        <v>7</v>
      </c>
    </row>
    <row r="16" spans="2:9">
      <c r="B16" s="113"/>
      <c r="C16" s="74" t="s">
        <v>61</v>
      </c>
      <c r="D16" s="55" t="s">
        <v>62</v>
      </c>
      <c r="E16" s="56">
        <v>56000</v>
      </c>
      <c r="F16" s="113"/>
      <c r="G16" s="70">
        <f>+F16*E16</f>
        <v>0</v>
      </c>
      <c r="H16" s="113">
        <v>60</v>
      </c>
      <c r="I16" s="70">
        <f>+H16*E16</f>
        <v>3360000</v>
      </c>
    </row>
    <row r="17" spans="2:9">
      <c r="B17" s="80" t="s">
        <v>80</v>
      </c>
      <c r="C17" s="81" t="s">
        <v>63</v>
      </c>
      <c r="D17" s="82"/>
      <c r="E17" s="82"/>
      <c r="F17" s="80"/>
      <c r="G17" s="83">
        <f>+G16</f>
        <v>0</v>
      </c>
      <c r="H17" s="83"/>
      <c r="I17" s="83">
        <f t="shared" ref="I17" si="0">+I16</f>
        <v>3360000</v>
      </c>
    </row>
    <row r="18" spans="2:9">
      <c r="B18" s="113"/>
      <c r="C18" s="74" t="s">
        <v>65</v>
      </c>
      <c r="D18" s="55" t="s">
        <v>64</v>
      </c>
      <c r="E18" s="56">
        <v>38400</v>
      </c>
      <c r="F18" s="113">
        <v>15</v>
      </c>
      <c r="G18" s="70">
        <f>+F18*E18</f>
        <v>576000</v>
      </c>
      <c r="H18" s="70">
        <v>45</v>
      </c>
      <c r="I18" s="70">
        <f>+H18*E18</f>
        <v>1728000</v>
      </c>
    </row>
    <row r="19" spans="2:9">
      <c r="B19" s="113"/>
      <c r="C19" s="74" t="s">
        <v>66</v>
      </c>
      <c r="D19" s="55" t="s">
        <v>64</v>
      </c>
      <c r="E19" s="56">
        <v>47500</v>
      </c>
      <c r="F19" s="113">
        <v>32</v>
      </c>
      <c r="G19" s="70">
        <f>+F19*E19</f>
        <v>1520000</v>
      </c>
      <c r="H19" s="70">
        <v>72</v>
      </c>
      <c r="I19" s="70">
        <f>+H19*E19</f>
        <v>3420000</v>
      </c>
    </row>
    <row r="20" spans="2:9">
      <c r="B20" s="80" t="s">
        <v>81</v>
      </c>
      <c r="C20" s="84" t="s">
        <v>70</v>
      </c>
      <c r="D20" s="85"/>
      <c r="E20" s="86"/>
      <c r="F20" s="80"/>
      <c r="G20" s="83">
        <f>SUM(G18:G19)</f>
        <v>2096000</v>
      </c>
      <c r="H20" s="83"/>
      <c r="I20" s="83">
        <f t="shared" ref="I20" si="1">SUM(I18:I19)</f>
        <v>5148000</v>
      </c>
    </row>
    <row r="21" spans="2:9">
      <c r="B21" s="58"/>
      <c r="C21" s="74" t="s">
        <v>84</v>
      </c>
      <c r="D21" s="105" t="s">
        <v>85</v>
      </c>
      <c r="E21" s="106">
        <v>42500</v>
      </c>
      <c r="F21" s="58"/>
      <c r="G21" s="107">
        <f>+F21*E21</f>
        <v>0</v>
      </c>
      <c r="H21" s="107">
        <v>35</v>
      </c>
      <c r="I21" s="107">
        <f>+H21*E21</f>
        <v>1487500</v>
      </c>
    </row>
    <row r="22" spans="2:9">
      <c r="B22" s="58"/>
      <c r="C22" s="74" t="s">
        <v>86</v>
      </c>
      <c r="D22" s="105" t="s">
        <v>87</v>
      </c>
      <c r="E22" s="106">
        <v>35000</v>
      </c>
      <c r="F22" s="58"/>
      <c r="G22" s="107">
        <f t="shared" ref="G22:G24" si="2">+F22*E22</f>
        <v>0</v>
      </c>
      <c r="H22" s="107">
        <v>12</v>
      </c>
      <c r="I22" s="107">
        <f t="shared" ref="I22:I24" si="3">+H22*E22</f>
        <v>420000</v>
      </c>
    </row>
    <row r="23" spans="2:9">
      <c r="B23" s="58"/>
      <c r="C23" s="74" t="s">
        <v>88</v>
      </c>
      <c r="D23" s="105" t="s">
        <v>85</v>
      </c>
      <c r="E23" s="106">
        <v>12500</v>
      </c>
      <c r="F23" s="58">
        <v>20</v>
      </c>
      <c r="G23" s="107">
        <f t="shared" si="2"/>
        <v>250000</v>
      </c>
      <c r="H23" s="107">
        <v>30</v>
      </c>
      <c r="I23" s="107">
        <f t="shared" si="3"/>
        <v>375000</v>
      </c>
    </row>
    <row r="24" spans="2:9">
      <c r="B24" s="58"/>
      <c r="C24" s="74" t="s">
        <v>89</v>
      </c>
      <c r="D24" s="105" t="s">
        <v>85</v>
      </c>
      <c r="E24" s="106">
        <v>11500</v>
      </c>
      <c r="F24" s="58">
        <v>30</v>
      </c>
      <c r="G24" s="107">
        <f t="shared" si="2"/>
        <v>345000</v>
      </c>
      <c r="H24" s="107">
        <v>83</v>
      </c>
      <c r="I24" s="107">
        <f t="shared" si="3"/>
        <v>954500</v>
      </c>
    </row>
    <row r="25" spans="2:9">
      <c r="B25" s="80" t="s">
        <v>20</v>
      </c>
      <c r="C25" s="84" t="s">
        <v>93</v>
      </c>
      <c r="D25" s="85"/>
      <c r="E25" s="86"/>
      <c r="F25" s="80"/>
      <c r="G25" s="83">
        <f>SUM(G21:G24)</f>
        <v>595000</v>
      </c>
      <c r="H25" s="83"/>
      <c r="I25" s="83">
        <f t="shared" ref="I25" si="4">SUM(I21:I24)</f>
        <v>3237000</v>
      </c>
    </row>
    <row r="26" spans="2:9">
      <c r="B26" s="58"/>
      <c r="C26" s="119" t="s">
        <v>98</v>
      </c>
      <c r="D26" s="118" t="s">
        <v>67</v>
      </c>
      <c r="E26" s="56">
        <v>8500</v>
      </c>
      <c r="F26" s="58">
        <v>10</v>
      </c>
      <c r="G26" s="107">
        <f>+F26*E26</f>
        <v>85000</v>
      </c>
      <c r="H26" s="107">
        <f>+F26</f>
        <v>10</v>
      </c>
      <c r="I26" s="107">
        <f>+G26</f>
        <v>85000</v>
      </c>
    </row>
    <row r="27" spans="2:9">
      <c r="B27" s="58"/>
      <c r="C27" s="119" t="s">
        <v>99</v>
      </c>
      <c r="D27" s="118" t="s">
        <v>67</v>
      </c>
      <c r="E27" s="56">
        <v>10300</v>
      </c>
      <c r="F27" s="58">
        <v>10</v>
      </c>
      <c r="G27" s="107">
        <f>+F27*E27</f>
        <v>103000</v>
      </c>
      <c r="H27" s="107">
        <f t="shared" ref="H27" si="5">+F27</f>
        <v>10</v>
      </c>
      <c r="I27" s="107">
        <f t="shared" ref="I27" si="6">+G27</f>
        <v>103000</v>
      </c>
    </row>
    <row r="28" spans="2:9">
      <c r="B28" s="58"/>
      <c r="C28" s="76" t="s">
        <v>90</v>
      </c>
      <c r="D28" s="108" t="s">
        <v>67</v>
      </c>
      <c r="E28" s="109">
        <v>9150</v>
      </c>
      <c r="F28" s="58"/>
      <c r="G28" s="70">
        <f t="shared" ref="G28:G30" si="7">+E28*F28</f>
        <v>0</v>
      </c>
      <c r="H28" s="107">
        <v>10</v>
      </c>
      <c r="I28" s="70">
        <f t="shared" ref="I28:I30" si="8">+H28*E28</f>
        <v>91500</v>
      </c>
    </row>
    <row r="29" spans="2:9">
      <c r="B29" s="58"/>
      <c r="C29" s="76" t="s">
        <v>92</v>
      </c>
      <c r="D29" s="108" t="s">
        <v>67</v>
      </c>
      <c r="E29" s="109">
        <v>11500</v>
      </c>
      <c r="F29" s="58"/>
      <c r="G29" s="70">
        <f t="shared" si="7"/>
        <v>0</v>
      </c>
      <c r="H29" s="107">
        <v>3</v>
      </c>
      <c r="I29" s="70">
        <f t="shared" si="8"/>
        <v>34500</v>
      </c>
    </row>
    <row r="30" spans="2:9">
      <c r="B30" s="58"/>
      <c r="C30" s="76" t="s">
        <v>91</v>
      </c>
      <c r="D30" s="108" t="s">
        <v>67</v>
      </c>
      <c r="E30" s="109">
        <v>4600</v>
      </c>
      <c r="F30" s="58"/>
      <c r="G30" s="70">
        <f t="shared" si="7"/>
        <v>0</v>
      </c>
      <c r="H30" s="107">
        <v>12</v>
      </c>
      <c r="I30" s="70">
        <f t="shared" si="8"/>
        <v>55200</v>
      </c>
    </row>
    <row r="31" spans="2:9">
      <c r="B31" s="113"/>
      <c r="C31" s="76" t="s">
        <v>68</v>
      </c>
      <c r="D31" s="77" t="s">
        <v>67</v>
      </c>
      <c r="E31" s="78">
        <v>5500</v>
      </c>
      <c r="F31" s="113">
        <v>55</v>
      </c>
      <c r="G31" s="70">
        <f>+E31*F31</f>
        <v>302500</v>
      </c>
      <c r="H31" s="70">
        <f>40+55</f>
        <v>95</v>
      </c>
      <c r="I31" s="70">
        <f>+H31*E31</f>
        <v>522500</v>
      </c>
    </row>
    <row r="32" spans="2:9">
      <c r="B32" s="113"/>
      <c r="C32" s="76" t="s">
        <v>69</v>
      </c>
      <c r="D32" s="77" t="s">
        <v>67</v>
      </c>
      <c r="E32" s="78">
        <v>4200</v>
      </c>
      <c r="F32" s="113">
        <v>60</v>
      </c>
      <c r="G32" s="70">
        <f>+E32*F32</f>
        <v>252000</v>
      </c>
      <c r="H32" s="70">
        <f>109+60</f>
        <v>169</v>
      </c>
      <c r="I32" s="70">
        <f>+H32*E32</f>
        <v>709800</v>
      </c>
    </row>
    <row r="33" spans="2:14">
      <c r="B33" s="80" t="s">
        <v>21</v>
      </c>
      <c r="C33" s="87" t="s">
        <v>71</v>
      </c>
      <c r="D33" s="88"/>
      <c r="E33" s="89"/>
      <c r="F33" s="80"/>
      <c r="G33" s="83">
        <f>SUM(G26:G32)</f>
        <v>742500</v>
      </c>
      <c r="H33" s="83"/>
      <c r="I33" s="83">
        <f t="shared" ref="I33" si="9">SUM(I26:I32)</f>
        <v>1601500</v>
      </c>
    </row>
    <row r="34" spans="2:14">
      <c r="B34" s="80" t="s">
        <v>22</v>
      </c>
      <c r="C34" s="87" t="s">
        <v>72</v>
      </c>
      <c r="D34" s="88"/>
      <c r="E34" s="89"/>
      <c r="F34" s="80"/>
      <c r="G34" s="83">
        <f>+G33+G20+G25</f>
        <v>3433500</v>
      </c>
      <c r="H34" s="83"/>
      <c r="I34" s="83">
        <f>+I33+I20+I25</f>
        <v>9986500</v>
      </c>
    </row>
    <row r="35" spans="2:14">
      <c r="B35" s="113"/>
      <c r="C35" s="50" t="s">
        <v>54</v>
      </c>
      <c r="D35" s="114" t="s">
        <v>55</v>
      </c>
      <c r="E35" s="51">
        <v>50000</v>
      </c>
      <c r="F35" s="113"/>
      <c r="G35" s="9">
        <f t="shared" ref="G35:G37" si="10">F35*E35</f>
        <v>0</v>
      </c>
      <c r="H35" s="113">
        <v>30</v>
      </c>
      <c r="I35" s="9">
        <f>H35*E35</f>
        <v>1500000</v>
      </c>
    </row>
    <row r="36" spans="2:14">
      <c r="B36" s="113"/>
      <c r="C36" s="74" t="s">
        <v>73</v>
      </c>
      <c r="D36" s="55" t="s">
        <v>62</v>
      </c>
      <c r="E36" s="56">
        <v>11500</v>
      </c>
      <c r="F36" s="113">
        <v>730</v>
      </c>
      <c r="G36" s="9">
        <f>+F36*E36</f>
        <v>8395000</v>
      </c>
      <c r="H36" s="113">
        <v>1500</v>
      </c>
      <c r="I36" s="9">
        <f t="shared" ref="I36:I37" si="11">H36*E36</f>
        <v>17250000</v>
      </c>
    </row>
    <row r="37" spans="2:14">
      <c r="B37" s="113"/>
      <c r="C37" s="8" t="s">
        <v>25</v>
      </c>
      <c r="D37" s="113" t="s">
        <v>19</v>
      </c>
      <c r="E37" s="24">
        <v>65500</v>
      </c>
      <c r="F37" s="113"/>
      <c r="G37" s="9">
        <f t="shared" si="10"/>
        <v>0</v>
      </c>
      <c r="H37" s="113">
        <v>940</v>
      </c>
      <c r="I37" s="9">
        <f t="shared" si="11"/>
        <v>61570000</v>
      </c>
    </row>
    <row r="38" spans="2:14">
      <c r="B38" s="11" t="s">
        <v>4</v>
      </c>
      <c r="C38" s="79" t="s">
        <v>0</v>
      </c>
      <c r="D38" s="1"/>
      <c r="E38" s="25"/>
      <c r="F38" s="14"/>
      <c r="G38" s="13">
        <f>+G36+G37</f>
        <v>8395000</v>
      </c>
      <c r="H38" s="116"/>
      <c r="I38" s="13">
        <f>+I35+I36+I37</f>
        <v>80320000</v>
      </c>
    </row>
    <row r="39" spans="2:14">
      <c r="B39" s="52"/>
      <c r="C39" s="74" t="s">
        <v>74</v>
      </c>
      <c r="D39" s="55" t="s">
        <v>64</v>
      </c>
      <c r="E39" s="56">
        <v>950</v>
      </c>
      <c r="F39" s="73">
        <v>1650</v>
      </c>
      <c r="G39" s="57">
        <f>+F39*E39</f>
        <v>1567500</v>
      </c>
      <c r="H39" s="59">
        <f>4490+1650</f>
        <v>6140</v>
      </c>
      <c r="I39" s="57">
        <f>+H39*E39</f>
        <v>5833000</v>
      </c>
      <c r="K39" s="38"/>
      <c r="N39" s="60"/>
    </row>
    <row r="40" spans="2:14">
      <c r="B40" s="52"/>
      <c r="C40" s="74" t="s">
        <v>75</v>
      </c>
      <c r="D40" s="55" t="s">
        <v>64</v>
      </c>
      <c r="E40" s="56">
        <v>1050</v>
      </c>
      <c r="F40" s="73">
        <v>2680</v>
      </c>
      <c r="G40" s="57">
        <f t="shared" ref="G40:G43" si="12">+F40*E40</f>
        <v>2814000</v>
      </c>
      <c r="H40" s="59">
        <v>5185</v>
      </c>
      <c r="I40" s="57">
        <f t="shared" ref="I40:I43" si="13">+H40*E40</f>
        <v>5444250</v>
      </c>
      <c r="K40" s="38"/>
      <c r="N40" s="60"/>
    </row>
    <row r="41" spans="2:14">
      <c r="B41" s="124">
        <v>0</v>
      </c>
      <c r="C41" s="125">
        <v>1</v>
      </c>
      <c r="D41" s="125">
        <v>2</v>
      </c>
      <c r="E41" s="126">
        <v>3</v>
      </c>
      <c r="F41" s="124">
        <v>4</v>
      </c>
      <c r="G41" s="124">
        <v>5</v>
      </c>
      <c r="H41" s="124">
        <v>6</v>
      </c>
      <c r="I41" s="124">
        <v>7</v>
      </c>
      <c r="K41" s="38"/>
      <c r="N41" s="60"/>
    </row>
    <row r="42" spans="2:14">
      <c r="B42" s="52"/>
      <c r="C42" s="55" t="s">
        <v>76</v>
      </c>
      <c r="D42" s="55" t="s">
        <v>64</v>
      </c>
      <c r="E42" s="56">
        <v>1100</v>
      </c>
      <c r="F42" s="73">
        <v>250</v>
      </c>
      <c r="G42" s="57">
        <f t="shared" si="12"/>
        <v>275000</v>
      </c>
      <c r="H42" s="59">
        <v>610</v>
      </c>
      <c r="I42" s="57">
        <f t="shared" si="13"/>
        <v>671000</v>
      </c>
      <c r="K42" s="38"/>
      <c r="N42" s="60"/>
    </row>
    <row r="43" spans="2:14">
      <c r="B43" s="52"/>
      <c r="C43" s="74" t="s">
        <v>77</v>
      </c>
      <c r="D43" s="55" t="s">
        <v>64</v>
      </c>
      <c r="E43" s="56">
        <v>1250</v>
      </c>
      <c r="F43" s="73"/>
      <c r="G43" s="57">
        <f t="shared" si="12"/>
        <v>0</v>
      </c>
      <c r="H43" s="59">
        <v>2400</v>
      </c>
      <c r="I43" s="57">
        <f t="shared" si="13"/>
        <v>3000000</v>
      </c>
      <c r="K43" s="38"/>
      <c r="N43" s="60"/>
    </row>
    <row r="44" spans="2:14">
      <c r="B44" s="90" t="s">
        <v>23</v>
      </c>
      <c r="C44" s="91" t="s">
        <v>79</v>
      </c>
      <c r="D44" s="85"/>
      <c r="E44" s="86"/>
      <c r="F44" s="92"/>
      <c r="G44" s="93">
        <f t="shared" ref="G44" si="14">+G39+G40+G42+G43</f>
        <v>4656500</v>
      </c>
      <c r="H44" s="93"/>
      <c r="I44" s="93">
        <f>+I39+I40+I42+I43</f>
        <v>14948250</v>
      </c>
      <c r="K44" s="38"/>
      <c r="N44" s="60"/>
    </row>
    <row r="45" spans="2:14">
      <c r="B45" s="90" t="s">
        <v>24</v>
      </c>
      <c r="C45" s="94" t="s">
        <v>30</v>
      </c>
      <c r="D45" s="90"/>
      <c r="E45" s="95"/>
      <c r="F45" s="96"/>
      <c r="G45" s="93">
        <f>+G44+G38+G34+G17</f>
        <v>16485000</v>
      </c>
      <c r="H45" s="117"/>
      <c r="I45" s="93">
        <f>+I44+I38+I34+I17</f>
        <v>108614750</v>
      </c>
      <c r="J45" s="37">
        <f>+G45*2%</f>
        <v>329700</v>
      </c>
      <c r="K45" s="38"/>
      <c r="N45" s="60"/>
    </row>
    <row r="46" spans="2:14">
      <c r="B46" s="52"/>
      <c r="C46" s="53" t="s">
        <v>56</v>
      </c>
      <c r="D46" s="55" t="s">
        <v>57</v>
      </c>
      <c r="E46" s="56">
        <v>117612</v>
      </c>
      <c r="F46" s="58"/>
      <c r="G46" s="57" t="s">
        <v>78</v>
      </c>
      <c r="H46" s="59">
        <v>3</v>
      </c>
      <c r="I46" s="57">
        <f>+H46*E46</f>
        <v>352836</v>
      </c>
      <c r="J46" s="37">
        <f>+G45-J45</f>
        <v>16155300</v>
      </c>
      <c r="K46" s="38"/>
      <c r="N46" s="60"/>
    </row>
    <row r="47" spans="2:14">
      <c r="B47" s="52"/>
      <c r="C47" s="54" t="s">
        <v>58</v>
      </c>
      <c r="D47" s="55" t="s">
        <v>57</v>
      </c>
      <c r="E47" s="56">
        <v>137700</v>
      </c>
      <c r="F47" s="58"/>
      <c r="G47" s="57">
        <f t="shared" ref="G47:G48" si="15">+F47*E47</f>
        <v>0</v>
      </c>
      <c r="H47" s="59">
        <v>1</v>
      </c>
      <c r="I47" s="57">
        <f t="shared" ref="I47:I48" si="16">+H47*E47</f>
        <v>137700</v>
      </c>
      <c r="J47" s="37">
        <f>+J46+G61</f>
        <v>28390100</v>
      </c>
      <c r="K47" s="38"/>
      <c r="N47" s="60"/>
    </row>
    <row r="48" spans="2:14">
      <c r="B48" s="52"/>
      <c r="C48" s="17" t="s">
        <v>26</v>
      </c>
      <c r="D48" s="18" t="s">
        <v>27</v>
      </c>
      <c r="E48" s="26">
        <v>650000</v>
      </c>
      <c r="F48" s="58">
        <v>1</v>
      </c>
      <c r="G48" s="57">
        <f t="shared" si="15"/>
        <v>650000</v>
      </c>
      <c r="H48" s="58">
        <v>7</v>
      </c>
      <c r="I48" s="57">
        <f t="shared" si="16"/>
        <v>4550000</v>
      </c>
      <c r="J48" s="37">
        <f>+J47*0.1</f>
        <v>2839010</v>
      </c>
      <c r="K48" s="39"/>
      <c r="N48" s="61"/>
    </row>
    <row r="49" spans="2:14">
      <c r="B49" s="11" t="s">
        <v>5</v>
      </c>
      <c r="C49" s="12" t="s">
        <v>28</v>
      </c>
      <c r="D49" s="11"/>
      <c r="E49" s="13"/>
      <c r="F49" s="14"/>
      <c r="G49" s="13">
        <f>SUM(G46:G48)</f>
        <v>650000</v>
      </c>
      <c r="H49" s="116"/>
      <c r="I49" s="13">
        <f t="shared" ref="I49" si="17">SUM(I46:I48)</f>
        <v>5040536</v>
      </c>
      <c r="J49" s="37">
        <f>+J48+J47</f>
        <v>31229110</v>
      </c>
      <c r="N49" s="62"/>
    </row>
    <row r="50" spans="2:14">
      <c r="B50" s="52"/>
      <c r="C50" s="74" t="s">
        <v>100</v>
      </c>
      <c r="D50" s="55" t="s">
        <v>67</v>
      </c>
      <c r="E50" s="56">
        <f>35500*90%</f>
        <v>31950</v>
      </c>
      <c r="F50" s="123">
        <v>12</v>
      </c>
      <c r="G50" s="123">
        <f>+F50*E50</f>
        <v>383400</v>
      </c>
      <c r="H50" s="123">
        <f>+F50</f>
        <v>12</v>
      </c>
      <c r="I50" s="123">
        <f>+G50</f>
        <v>383400</v>
      </c>
      <c r="N50" s="62"/>
    </row>
    <row r="51" spans="2:14">
      <c r="B51" s="52"/>
      <c r="C51" s="74" t="s">
        <v>101</v>
      </c>
      <c r="D51" s="55" t="s">
        <v>67</v>
      </c>
      <c r="E51" s="56">
        <f>36000*90%</f>
        <v>32400</v>
      </c>
      <c r="F51" s="123">
        <v>60</v>
      </c>
      <c r="G51" s="123">
        <f t="shared" ref="G51:G57" si="18">+F51*E51</f>
        <v>1944000</v>
      </c>
      <c r="H51" s="123">
        <f t="shared" ref="H51:H57" si="19">+F51</f>
        <v>60</v>
      </c>
      <c r="I51" s="123">
        <f t="shared" ref="I51:I57" si="20">+G51</f>
        <v>1944000</v>
      </c>
      <c r="N51" s="62"/>
    </row>
    <row r="52" spans="2:14">
      <c r="B52" s="52"/>
      <c r="C52" s="74" t="s">
        <v>102</v>
      </c>
      <c r="D52" s="55" t="s">
        <v>103</v>
      </c>
      <c r="E52" s="56">
        <f>16000*90%</f>
        <v>14400</v>
      </c>
      <c r="F52" s="123">
        <v>60</v>
      </c>
      <c r="G52" s="123">
        <f t="shared" si="18"/>
        <v>864000</v>
      </c>
      <c r="H52" s="123">
        <f t="shared" si="19"/>
        <v>60</v>
      </c>
      <c r="I52" s="123">
        <f t="shared" si="20"/>
        <v>864000</v>
      </c>
      <c r="N52" s="62"/>
    </row>
    <row r="53" spans="2:14">
      <c r="B53" s="52"/>
      <c r="C53" s="74" t="s">
        <v>104</v>
      </c>
      <c r="D53" s="55" t="s">
        <v>105</v>
      </c>
      <c r="E53" s="56">
        <f>16000*90%</f>
        <v>14400</v>
      </c>
      <c r="F53" s="123">
        <v>1</v>
      </c>
      <c r="G53" s="123">
        <f t="shared" si="18"/>
        <v>14400</v>
      </c>
      <c r="H53" s="123">
        <f t="shared" si="19"/>
        <v>1</v>
      </c>
      <c r="I53" s="123">
        <f t="shared" si="20"/>
        <v>14400</v>
      </c>
      <c r="N53" s="62"/>
    </row>
    <row r="54" spans="2:14">
      <c r="B54" s="52"/>
      <c r="C54" s="74" t="s">
        <v>106</v>
      </c>
      <c r="D54" s="55" t="s">
        <v>67</v>
      </c>
      <c r="E54" s="56">
        <f>25000*0.9</f>
        <v>22500</v>
      </c>
      <c r="F54" s="73">
        <v>17</v>
      </c>
      <c r="G54" s="123">
        <f t="shared" si="18"/>
        <v>382500</v>
      </c>
      <c r="H54" s="123">
        <f t="shared" si="19"/>
        <v>17</v>
      </c>
      <c r="I54" s="123">
        <f t="shared" si="20"/>
        <v>382500</v>
      </c>
      <c r="N54" s="62"/>
    </row>
    <row r="55" spans="2:14">
      <c r="B55" s="52"/>
      <c r="C55" s="74" t="s">
        <v>107</v>
      </c>
      <c r="D55" s="55" t="s">
        <v>67</v>
      </c>
      <c r="E55" s="56">
        <f>30000*90%</f>
        <v>27000</v>
      </c>
      <c r="F55" s="73">
        <v>209</v>
      </c>
      <c r="G55" s="123">
        <f t="shared" si="18"/>
        <v>5643000</v>
      </c>
      <c r="H55" s="123">
        <f t="shared" si="19"/>
        <v>209</v>
      </c>
      <c r="I55" s="123">
        <f t="shared" si="20"/>
        <v>5643000</v>
      </c>
      <c r="N55" s="62"/>
    </row>
    <row r="56" spans="2:14">
      <c r="B56" s="52"/>
      <c r="C56" s="74" t="s">
        <v>108</v>
      </c>
      <c r="D56" s="55" t="s">
        <v>67</v>
      </c>
      <c r="E56" s="56">
        <f>(32000+40000+16000)*0.9</f>
        <v>79200</v>
      </c>
      <c r="F56" s="73">
        <v>8</v>
      </c>
      <c r="G56" s="123">
        <f t="shared" si="18"/>
        <v>633600</v>
      </c>
      <c r="H56" s="123">
        <f t="shared" si="19"/>
        <v>8</v>
      </c>
      <c r="I56" s="123">
        <f t="shared" si="20"/>
        <v>633600</v>
      </c>
      <c r="N56" s="62"/>
    </row>
    <row r="57" spans="2:14">
      <c r="B57" s="52"/>
      <c r="C57" s="74" t="s">
        <v>109</v>
      </c>
      <c r="D57" s="55" t="s">
        <v>67</v>
      </c>
      <c r="E57" s="56">
        <f>36000*0.9</f>
        <v>32400</v>
      </c>
      <c r="F57" s="73">
        <v>12</v>
      </c>
      <c r="G57" s="123">
        <f t="shared" si="18"/>
        <v>388800</v>
      </c>
      <c r="H57" s="123">
        <f t="shared" si="19"/>
        <v>12</v>
      </c>
      <c r="I57" s="123">
        <f t="shared" si="20"/>
        <v>388800</v>
      </c>
      <c r="N57" s="62"/>
    </row>
    <row r="58" spans="2:14">
      <c r="B58" s="52"/>
      <c r="C58" s="74" t="s">
        <v>110</v>
      </c>
      <c r="D58" s="55" t="s">
        <v>67</v>
      </c>
      <c r="E58" s="56">
        <f>9000*90%</f>
        <v>8100</v>
      </c>
      <c r="F58" s="73">
        <v>25</v>
      </c>
      <c r="G58" s="123">
        <f>+F58*E58</f>
        <v>202500</v>
      </c>
      <c r="H58" s="123">
        <f>+F58</f>
        <v>25</v>
      </c>
      <c r="I58" s="123">
        <f>+G58</f>
        <v>202500</v>
      </c>
      <c r="N58" s="62"/>
    </row>
    <row r="59" spans="2:14">
      <c r="B59" s="52"/>
      <c r="C59" s="74" t="s">
        <v>111</v>
      </c>
      <c r="D59" s="55" t="s">
        <v>67</v>
      </c>
      <c r="E59" s="56">
        <f>6000*90%</f>
        <v>5400</v>
      </c>
      <c r="F59" s="73">
        <v>209</v>
      </c>
      <c r="G59" s="123">
        <f>+F59*E59</f>
        <v>1128600</v>
      </c>
      <c r="H59" s="123">
        <f>+F59</f>
        <v>209</v>
      </c>
      <c r="I59" s="123">
        <f>+G59</f>
        <v>1128600</v>
      </c>
      <c r="N59" s="62"/>
    </row>
    <row r="60" spans="2:14">
      <c r="B60" s="52" t="s">
        <v>82</v>
      </c>
      <c r="C60" s="120" t="s">
        <v>112</v>
      </c>
      <c r="D60" s="52"/>
      <c r="E60" s="72"/>
      <c r="F60" s="71"/>
      <c r="G60" s="72">
        <f>SUM(G50:G59)</f>
        <v>11584800</v>
      </c>
      <c r="H60" s="121"/>
      <c r="I60" s="72">
        <f>+G60</f>
        <v>11584800</v>
      </c>
      <c r="N60" s="62"/>
    </row>
    <row r="61" spans="2:14">
      <c r="B61" s="11" t="s">
        <v>94</v>
      </c>
      <c r="C61" s="12" t="s">
        <v>31</v>
      </c>
      <c r="D61" s="11"/>
      <c r="E61" s="13"/>
      <c r="F61" s="14"/>
      <c r="G61" s="13">
        <f>+G60+G49</f>
        <v>12234800</v>
      </c>
      <c r="H61" s="13"/>
      <c r="I61" s="13">
        <f t="shared" ref="I61" si="21">+I60+I49</f>
        <v>16625336</v>
      </c>
      <c r="J61" s="122"/>
      <c r="K61" s="39"/>
      <c r="N61" s="63"/>
    </row>
    <row r="62" spans="2:14">
      <c r="B62" s="52"/>
      <c r="C62" s="97" t="s">
        <v>29</v>
      </c>
      <c r="D62" s="52"/>
      <c r="E62" s="72"/>
      <c r="F62" s="71"/>
      <c r="G62" s="57">
        <v>0</v>
      </c>
      <c r="H62" s="59"/>
      <c r="I62" s="57">
        <v>0</v>
      </c>
      <c r="N62" s="63"/>
    </row>
    <row r="63" spans="2:14">
      <c r="B63" s="11" t="s">
        <v>95</v>
      </c>
      <c r="C63" s="12" t="s">
        <v>32</v>
      </c>
      <c r="D63" s="11"/>
      <c r="E63" s="13"/>
      <c r="F63" s="14"/>
      <c r="G63" s="13">
        <f>G45+G61</f>
        <v>28719800</v>
      </c>
      <c r="H63" s="116"/>
      <c r="I63" s="13">
        <f>I45+I61</f>
        <v>125240086</v>
      </c>
      <c r="N63" s="61"/>
    </row>
    <row r="64" spans="2:14">
      <c r="B64" s="11" t="s">
        <v>96</v>
      </c>
      <c r="C64" s="12" t="s">
        <v>3</v>
      </c>
      <c r="D64" s="11"/>
      <c r="E64" s="13"/>
      <c r="F64" s="14"/>
      <c r="G64" s="13">
        <f>+G62*0.1+G63*0.1</f>
        <v>2871980</v>
      </c>
      <c r="H64" s="116"/>
      <c r="I64" s="13">
        <f>+I62*0.1+I63*0.1</f>
        <v>12524008.600000001</v>
      </c>
      <c r="N64" s="60"/>
    </row>
    <row r="65" spans="2:14">
      <c r="B65" s="11" t="s">
        <v>113</v>
      </c>
      <c r="C65" s="12" t="s">
        <v>59</v>
      </c>
      <c r="D65" s="11"/>
      <c r="E65" s="13"/>
      <c r="F65" s="14"/>
      <c r="G65" s="13">
        <f>SUM(G62:G64)</f>
        <v>31591780</v>
      </c>
      <c r="H65" s="116"/>
      <c r="I65" s="13">
        <f>SUM(I62:I64)</f>
        <v>137764094.59999999</v>
      </c>
      <c r="N65" s="61"/>
    </row>
    <row r="66" spans="2:14">
      <c r="C66" s="4"/>
    </row>
    <row r="67" spans="2:14">
      <c r="C67" s="4" t="s">
        <v>34</v>
      </c>
      <c r="G67" s="227"/>
      <c r="H67" s="227"/>
    </row>
    <row r="68" spans="2:14">
      <c r="C68" s="110" t="s">
        <v>35</v>
      </c>
      <c r="F68" s="112" t="s">
        <v>36</v>
      </c>
      <c r="G68" s="28"/>
    </row>
    <row r="69" spans="2:14">
      <c r="C69" s="110"/>
      <c r="G69" s="112"/>
    </row>
    <row r="70" spans="2:14">
      <c r="C70" s="110" t="s">
        <v>51</v>
      </c>
      <c r="F70" s="112" t="s">
        <v>52</v>
      </c>
      <c r="G70" s="28"/>
    </row>
    <row r="71" spans="2:14">
      <c r="C71" s="110"/>
      <c r="F71" s="112"/>
      <c r="G71" s="112"/>
    </row>
    <row r="72" spans="2:14">
      <c r="C72" s="75" t="s">
        <v>40</v>
      </c>
      <c r="F72" s="112" t="s">
        <v>38</v>
      </c>
      <c r="G72" s="112"/>
    </row>
    <row r="73" spans="2:14">
      <c r="C73" s="4" t="s">
        <v>41</v>
      </c>
      <c r="G73" s="112"/>
    </row>
    <row r="75" spans="2:14">
      <c r="C75" s="7" t="s">
        <v>42</v>
      </c>
      <c r="F75" s="112" t="s">
        <v>43</v>
      </c>
    </row>
    <row r="77" spans="2:14">
      <c r="C77" s="4" t="s">
        <v>44</v>
      </c>
    </row>
    <row r="78" spans="2:14">
      <c r="C78" s="7" t="s">
        <v>45</v>
      </c>
      <c r="F78" s="112" t="s">
        <v>47</v>
      </c>
    </row>
    <row r="79" spans="2:14">
      <c r="F79" s="112"/>
    </row>
    <row r="80" spans="2:14">
      <c r="C80" s="7" t="s">
        <v>46</v>
      </c>
      <c r="F80" s="7" t="s">
        <v>48</v>
      </c>
    </row>
  </sheetData>
  <mergeCells count="14">
    <mergeCell ref="B10:I10"/>
    <mergeCell ref="B1:I1"/>
    <mergeCell ref="B2:I2"/>
    <mergeCell ref="B3:I3"/>
    <mergeCell ref="C6:I6"/>
    <mergeCell ref="C7:I7"/>
    <mergeCell ref="G67:H67"/>
    <mergeCell ref="B12:I12"/>
    <mergeCell ref="B13:B14"/>
    <mergeCell ref="C13:C14"/>
    <mergeCell ref="D13:D14"/>
    <mergeCell ref="E13:E14"/>
    <mergeCell ref="F13:G13"/>
    <mergeCell ref="H13:I13"/>
  </mergeCells>
  <pageMargins left="0.7" right="0.7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0B56-42CC-4C62-AD10-7AC618786B0B}">
  <dimension ref="C1:O91"/>
  <sheetViews>
    <sheetView topLeftCell="A43" zoomScaleNormal="100" workbookViewId="0">
      <selection activeCell="G70" sqref="G70"/>
    </sheetView>
  </sheetViews>
  <sheetFormatPr defaultColWidth="9" defaultRowHeight="13.8"/>
  <cols>
    <col min="1" max="1" width="9" style="7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7" customWidth="1"/>
    <col min="8" max="8" width="14.5" style="7" customWidth="1"/>
    <col min="9" max="9" width="9.8984375" style="63" customWidth="1"/>
    <col min="10" max="10" width="15.3984375" style="7" customWidth="1"/>
    <col min="11" max="11" width="14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25" t="s">
        <v>13</v>
      </c>
      <c r="D1" s="225"/>
      <c r="E1" s="225"/>
      <c r="F1" s="225"/>
      <c r="G1" s="225"/>
      <c r="H1" s="225"/>
      <c r="I1" s="225"/>
      <c r="J1" s="225"/>
    </row>
    <row r="2" spans="3:10">
      <c r="C2" s="225" t="s">
        <v>14</v>
      </c>
      <c r="D2" s="225"/>
      <c r="E2" s="225"/>
      <c r="F2" s="225"/>
      <c r="G2" s="225"/>
      <c r="H2" s="225"/>
      <c r="I2" s="225"/>
      <c r="J2" s="225"/>
    </row>
    <row r="3" spans="3:10">
      <c r="C3" s="225" t="s">
        <v>15</v>
      </c>
      <c r="D3" s="225"/>
      <c r="E3" s="225"/>
      <c r="F3" s="225"/>
      <c r="G3" s="225"/>
      <c r="H3" s="225"/>
      <c r="I3" s="225"/>
      <c r="J3" s="225"/>
    </row>
    <row r="6" spans="3:10">
      <c r="D6" s="226" t="s">
        <v>16</v>
      </c>
      <c r="E6" s="226"/>
      <c r="F6" s="226"/>
      <c r="G6" s="226"/>
      <c r="H6" s="226"/>
      <c r="I6" s="226"/>
      <c r="J6" s="226"/>
    </row>
    <row r="7" spans="3:10">
      <c r="D7" s="226" t="s">
        <v>12</v>
      </c>
      <c r="E7" s="226"/>
      <c r="F7" s="226"/>
      <c r="G7" s="226"/>
      <c r="H7" s="226"/>
      <c r="I7" s="226"/>
      <c r="J7" s="226"/>
    </row>
    <row r="8" spans="3:10">
      <c r="D8" s="131"/>
      <c r="E8" s="131"/>
      <c r="F8" s="131"/>
      <c r="H8" s="131" t="s">
        <v>17</v>
      </c>
    </row>
    <row r="9" spans="3:10">
      <c r="D9" s="131"/>
      <c r="E9" s="131"/>
      <c r="F9" s="131"/>
      <c r="G9" s="131"/>
      <c r="H9" s="131"/>
    </row>
    <row r="10" spans="3:10">
      <c r="C10" s="225" t="s">
        <v>114</v>
      </c>
      <c r="D10" s="225"/>
      <c r="E10" s="225"/>
      <c r="F10" s="225"/>
      <c r="G10" s="225"/>
      <c r="H10" s="225"/>
      <c r="I10" s="225"/>
      <c r="J10" s="225"/>
    </row>
    <row r="11" spans="3:10">
      <c r="C11" s="128"/>
      <c r="D11" s="128"/>
      <c r="E11" s="128"/>
      <c r="F11" s="128"/>
      <c r="G11" s="128"/>
      <c r="H11" s="128"/>
      <c r="J11" s="128"/>
    </row>
    <row r="12" spans="3:10">
      <c r="C12" s="225" t="s">
        <v>18</v>
      </c>
      <c r="D12" s="225"/>
      <c r="E12" s="225"/>
      <c r="F12" s="225"/>
      <c r="G12" s="225"/>
      <c r="H12" s="225"/>
      <c r="I12" s="225"/>
      <c r="J12" s="225"/>
    </row>
    <row r="13" spans="3:10">
      <c r="C13" s="232" t="s">
        <v>11</v>
      </c>
      <c r="D13" s="232" t="s">
        <v>1</v>
      </c>
      <c r="E13" s="233" t="s">
        <v>7</v>
      </c>
      <c r="F13" s="233" t="s">
        <v>8</v>
      </c>
      <c r="G13" s="235" t="s">
        <v>9</v>
      </c>
      <c r="H13" s="235"/>
      <c r="I13" s="235" t="s">
        <v>10</v>
      </c>
      <c r="J13" s="235"/>
    </row>
    <row r="14" spans="3:10">
      <c r="C14" s="232"/>
      <c r="D14" s="232"/>
      <c r="E14" s="234"/>
      <c r="F14" s="234"/>
      <c r="G14" s="207" t="s">
        <v>2</v>
      </c>
      <c r="H14" s="207" t="s">
        <v>0</v>
      </c>
      <c r="I14" s="207" t="s">
        <v>2</v>
      </c>
      <c r="J14" s="207" t="s">
        <v>0</v>
      </c>
    </row>
    <row r="15" spans="3:10">
      <c r="C15" s="129">
        <v>0</v>
      </c>
      <c r="D15" s="129">
        <v>1</v>
      </c>
      <c r="E15" s="130">
        <v>2</v>
      </c>
      <c r="F15" s="130">
        <v>3</v>
      </c>
      <c r="G15" s="129">
        <v>4</v>
      </c>
      <c r="H15" s="129">
        <v>5</v>
      </c>
      <c r="I15" s="129">
        <v>6</v>
      </c>
      <c r="J15" s="129">
        <v>7</v>
      </c>
    </row>
    <row r="16" spans="3:10">
      <c r="C16" s="129"/>
      <c r="D16" s="74" t="s">
        <v>61</v>
      </c>
      <c r="E16" s="55" t="s">
        <v>62</v>
      </c>
      <c r="F16" s="56">
        <v>56000</v>
      </c>
      <c r="G16" s="129"/>
      <c r="H16" s="70">
        <f>+G16*F16</f>
        <v>0</v>
      </c>
      <c r="I16" s="129">
        <v>60</v>
      </c>
      <c r="J16" s="70">
        <f>+I16*F16</f>
        <v>3360000</v>
      </c>
    </row>
    <row r="17" spans="3:10">
      <c r="C17" s="80" t="s">
        <v>80</v>
      </c>
      <c r="D17" s="81" t="s">
        <v>63</v>
      </c>
      <c r="E17" s="82"/>
      <c r="F17" s="82"/>
      <c r="G17" s="80"/>
      <c r="H17" s="83">
        <f>+H16</f>
        <v>0</v>
      </c>
      <c r="I17" s="83"/>
      <c r="J17" s="83">
        <f t="shared" ref="J17" si="0">+J16</f>
        <v>3360000</v>
      </c>
    </row>
    <row r="18" spans="3:10">
      <c r="C18" s="129"/>
      <c r="D18" s="74" t="s">
        <v>65</v>
      </c>
      <c r="E18" s="55" t="s">
        <v>64</v>
      </c>
      <c r="F18" s="56">
        <v>38400</v>
      </c>
      <c r="G18" s="129"/>
      <c r="H18" s="70">
        <f>+G18*F18</f>
        <v>0</v>
      </c>
      <c r="I18" s="70">
        <v>45</v>
      </c>
      <c r="J18" s="70">
        <f>+I18*F18</f>
        <v>1728000</v>
      </c>
    </row>
    <row r="19" spans="3:10">
      <c r="C19" s="129"/>
      <c r="D19" s="74" t="s">
        <v>66</v>
      </c>
      <c r="E19" s="55" t="s">
        <v>64</v>
      </c>
      <c r="F19" s="56">
        <v>47500</v>
      </c>
      <c r="G19" s="129">
        <v>56</v>
      </c>
      <c r="H19" s="70">
        <f>+G19*F19</f>
        <v>2660000</v>
      </c>
      <c r="I19" s="70">
        <v>128</v>
      </c>
      <c r="J19" s="70">
        <f>+I19*F19</f>
        <v>6080000</v>
      </c>
    </row>
    <row r="20" spans="3:10">
      <c r="C20" s="80" t="s">
        <v>81</v>
      </c>
      <c r="D20" s="84" t="s">
        <v>70</v>
      </c>
      <c r="E20" s="85"/>
      <c r="F20" s="86"/>
      <c r="G20" s="80"/>
      <c r="H20" s="83">
        <f>SUM(H18:H19)</f>
        <v>2660000</v>
      </c>
      <c r="I20" s="83"/>
      <c r="J20" s="83">
        <f t="shared" ref="J20" si="1">SUM(J18:J19)</f>
        <v>7808000</v>
      </c>
    </row>
    <row r="21" spans="3:10">
      <c r="C21" s="58"/>
      <c r="D21" s="74" t="s">
        <v>84</v>
      </c>
      <c r="E21" s="55" t="s">
        <v>85</v>
      </c>
      <c r="F21" s="56">
        <v>42500</v>
      </c>
      <c r="G21" s="58">
        <v>53</v>
      </c>
      <c r="H21" s="107">
        <f>+G21*F21</f>
        <v>2252500</v>
      </c>
      <c r="I21" s="107">
        <v>88</v>
      </c>
      <c r="J21" s="107">
        <f>+I21*F21</f>
        <v>3740000</v>
      </c>
    </row>
    <row r="22" spans="3:10">
      <c r="C22" s="58"/>
      <c r="D22" s="74" t="s">
        <v>86</v>
      </c>
      <c r="E22" s="55" t="s">
        <v>87</v>
      </c>
      <c r="F22" s="56">
        <v>35000</v>
      </c>
      <c r="G22" s="58">
        <v>5.6</v>
      </c>
      <c r="H22" s="133">
        <f t="shared" ref="H22:H24" si="2">+G22*F22</f>
        <v>196000</v>
      </c>
      <c r="I22" s="107">
        <v>17.600000000000001</v>
      </c>
      <c r="J22" s="107">
        <f t="shared" ref="J22:J24" si="3">+I22*F22</f>
        <v>616000</v>
      </c>
    </row>
    <row r="23" spans="3:10">
      <c r="C23" s="58"/>
      <c r="D23" s="74" t="s">
        <v>88</v>
      </c>
      <c r="E23" s="55" t="s">
        <v>85</v>
      </c>
      <c r="F23" s="56">
        <v>12500</v>
      </c>
      <c r="G23" s="58"/>
      <c r="H23" s="107">
        <f t="shared" si="2"/>
        <v>0</v>
      </c>
      <c r="I23" s="107">
        <v>30</v>
      </c>
      <c r="J23" s="107">
        <f t="shared" si="3"/>
        <v>375000</v>
      </c>
    </row>
    <row r="24" spans="3:10">
      <c r="C24" s="58"/>
      <c r="D24" s="74" t="s">
        <v>89</v>
      </c>
      <c r="E24" s="55" t="s">
        <v>85</v>
      </c>
      <c r="F24" s="56">
        <v>11500</v>
      </c>
      <c r="G24" s="58">
        <v>115</v>
      </c>
      <c r="H24" s="107">
        <f t="shared" si="2"/>
        <v>1322500</v>
      </c>
      <c r="I24" s="107">
        <v>198</v>
      </c>
      <c r="J24" s="107">
        <f t="shared" si="3"/>
        <v>2277000</v>
      </c>
    </row>
    <row r="25" spans="3:10">
      <c r="C25" s="80" t="s">
        <v>20</v>
      </c>
      <c r="D25" s="84" t="s">
        <v>93</v>
      </c>
      <c r="E25" s="85"/>
      <c r="F25" s="86"/>
      <c r="G25" s="80"/>
      <c r="H25" s="83">
        <f>SUM(H21:H24)</f>
        <v>3771000</v>
      </c>
      <c r="I25" s="83"/>
      <c r="J25" s="83">
        <f t="shared" ref="J25" si="4">SUM(J21:J24)</f>
        <v>7008000</v>
      </c>
    </row>
    <row r="26" spans="3:10">
      <c r="C26" s="58"/>
      <c r="D26" s="119" t="s">
        <v>98</v>
      </c>
      <c r="E26" s="118" t="s">
        <v>67</v>
      </c>
      <c r="F26" s="56">
        <v>8500</v>
      </c>
      <c r="G26" s="58">
        <v>25</v>
      </c>
      <c r="H26" s="107">
        <f>+G26*F26</f>
        <v>212500</v>
      </c>
      <c r="I26" s="107">
        <v>35</v>
      </c>
      <c r="J26" s="70">
        <f t="shared" ref="J26:J27" si="5">+I26*F26</f>
        <v>297500</v>
      </c>
    </row>
    <row r="27" spans="3:10">
      <c r="C27" s="58"/>
      <c r="D27" s="119" t="s">
        <v>99</v>
      </c>
      <c r="E27" s="118" t="s">
        <v>67</v>
      </c>
      <c r="F27" s="56">
        <v>10300</v>
      </c>
      <c r="G27" s="58">
        <v>25</v>
      </c>
      <c r="H27" s="107">
        <f>+G27*F27</f>
        <v>257500</v>
      </c>
      <c r="I27" s="107">
        <v>35</v>
      </c>
      <c r="J27" s="70">
        <f t="shared" si="5"/>
        <v>360500</v>
      </c>
    </row>
    <row r="28" spans="3:10">
      <c r="C28" s="58"/>
      <c r="D28" s="76" t="s">
        <v>90</v>
      </c>
      <c r="E28" s="77" t="s">
        <v>67</v>
      </c>
      <c r="F28" s="78">
        <v>9150</v>
      </c>
      <c r="G28" s="58">
        <v>60</v>
      </c>
      <c r="H28" s="70">
        <f t="shared" ref="H28:H30" si="6">+F28*G28</f>
        <v>549000</v>
      </c>
      <c r="I28" s="107">
        <v>70</v>
      </c>
      <c r="J28" s="70">
        <f>+I28*F28</f>
        <v>640500</v>
      </c>
    </row>
    <row r="29" spans="3:10">
      <c r="C29" s="58"/>
      <c r="D29" s="76" t="s">
        <v>92</v>
      </c>
      <c r="E29" s="77" t="s">
        <v>67</v>
      </c>
      <c r="F29" s="78">
        <v>11500</v>
      </c>
      <c r="G29" s="58"/>
      <c r="H29" s="70">
        <f t="shared" si="6"/>
        <v>0</v>
      </c>
      <c r="I29" s="107">
        <v>3</v>
      </c>
      <c r="J29" s="70">
        <f t="shared" ref="J29:J30" si="7">+I29*F29</f>
        <v>34500</v>
      </c>
    </row>
    <row r="30" spans="3:10">
      <c r="C30" s="58"/>
      <c r="D30" s="76" t="s">
        <v>91</v>
      </c>
      <c r="E30" s="77" t="s">
        <v>67</v>
      </c>
      <c r="F30" s="78">
        <v>4600</v>
      </c>
      <c r="G30" s="58"/>
      <c r="H30" s="70">
        <f t="shared" si="6"/>
        <v>0</v>
      </c>
      <c r="I30" s="107">
        <v>12</v>
      </c>
      <c r="J30" s="70">
        <f t="shared" si="7"/>
        <v>55200</v>
      </c>
    </row>
    <row r="31" spans="3:10">
      <c r="C31" s="129"/>
      <c r="D31" s="76" t="s">
        <v>68</v>
      </c>
      <c r="E31" s="77" t="s">
        <v>67</v>
      </c>
      <c r="F31" s="78">
        <v>5500</v>
      </c>
      <c r="G31" s="129">
        <v>110</v>
      </c>
      <c r="H31" s="70">
        <f>+F31*G31</f>
        <v>605000</v>
      </c>
      <c r="I31" s="70">
        <v>205</v>
      </c>
      <c r="J31" s="70">
        <f>+I31*F31</f>
        <v>1127500</v>
      </c>
    </row>
    <row r="32" spans="3:10">
      <c r="C32" s="129"/>
      <c r="D32" s="76" t="s">
        <v>69</v>
      </c>
      <c r="E32" s="77" t="s">
        <v>67</v>
      </c>
      <c r="F32" s="78">
        <v>4200</v>
      </c>
      <c r="G32" s="129">
        <v>222</v>
      </c>
      <c r="H32" s="70">
        <f>+F32*G32</f>
        <v>932400</v>
      </c>
      <c r="I32" s="70">
        <v>391</v>
      </c>
      <c r="J32" s="70">
        <f t="shared" ref="J32:J39" si="8">+I32*F32</f>
        <v>1642200</v>
      </c>
    </row>
    <row r="33" spans="3:15">
      <c r="C33" s="129"/>
      <c r="D33" s="76" t="s">
        <v>92</v>
      </c>
      <c r="E33" s="77" t="s">
        <v>67</v>
      </c>
      <c r="F33" s="78">
        <v>11500</v>
      </c>
      <c r="G33" s="129">
        <v>11</v>
      </c>
      <c r="H33" s="70">
        <f t="shared" ref="H33:H39" si="9">+F33*G33</f>
        <v>126500</v>
      </c>
      <c r="I33" s="70">
        <v>11</v>
      </c>
      <c r="J33" s="70">
        <f t="shared" si="8"/>
        <v>126500</v>
      </c>
    </row>
    <row r="34" spans="3:15">
      <c r="C34" s="129"/>
      <c r="D34" s="76" t="s">
        <v>115</v>
      </c>
      <c r="E34" s="77" t="s">
        <v>67</v>
      </c>
      <c r="F34" s="78">
        <v>12500</v>
      </c>
      <c r="G34" s="129">
        <v>3</v>
      </c>
      <c r="H34" s="70">
        <f t="shared" si="9"/>
        <v>37500</v>
      </c>
      <c r="I34" s="70">
        <v>3</v>
      </c>
      <c r="J34" s="70">
        <f t="shared" si="8"/>
        <v>37500</v>
      </c>
    </row>
    <row r="35" spans="3:15">
      <c r="C35" s="129"/>
      <c r="D35" s="132" t="s">
        <v>116</v>
      </c>
      <c r="E35" s="77" t="s">
        <v>67</v>
      </c>
      <c r="F35" s="78">
        <v>5550</v>
      </c>
      <c r="G35" s="129">
        <v>2</v>
      </c>
      <c r="H35" s="70">
        <f t="shared" si="9"/>
        <v>11100</v>
      </c>
      <c r="I35" s="70">
        <v>2</v>
      </c>
      <c r="J35" s="70">
        <f t="shared" si="8"/>
        <v>11100</v>
      </c>
    </row>
    <row r="36" spans="3:15">
      <c r="C36" s="129"/>
      <c r="D36" s="132" t="s">
        <v>117</v>
      </c>
      <c r="E36" s="77" t="s">
        <v>67</v>
      </c>
      <c r="F36" s="78">
        <v>7500</v>
      </c>
      <c r="G36" s="129">
        <v>2</v>
      </c>
      <c r="H36" s="70">
        <f t="shared" si="9"/>
        <v>15000</v>
      </c>
      <c r="I36" s="70">
        <v>2</v>
      </c>
      <c r="J36" s="70">
        <f t="shared" si="8"/>
        <v>15000</v>
      </c>
    </row>
    <row r="37" spans="3:15">
      <c r="C37" s="129"/>
      <c r="D37" s="132" t="s">
        <v>118</v>
      </c>
      <c r="E37" s="77" t="s">
        <v>67</v>
      </c>
      <c r="F37" s="78">
        <v>10200</v>
      </c>
      <c r="G37" s="129">
        <v>2</v>
      </c>
      <c r="H37" s="70">
        <f t="shared" si="9"/>
        <v>20400</v>
      </c>
      <c r="I37" s="70">
        <v>2</v>
      </c>
      <c r="J37" s="70">
        <f t="shared" si="8"/>
        <v>20400</v>
      </c>
    </row>
    <row r="38" spans="3:15">
      <c r="C38" s="129"/>
      <c r="D38" s="132" t="s">
        <v>119</v>
      </c>
      <c r="E38" s="77" t="s">
        <v>67</v>
      </c>
      <c r="F38" s="78">
        <v>9600</v>
      </c>
      <c r="G38" s="129">
        <v>14</v>
      </c>
      <c r="H38" s="70">
        <f t="shared" si="9"/>
        <v>134400</v>
      </c>
      <c r="I38" s="70">
        <v>14</v>
      </c>
      <c r="J38" s="70">
        <f t="shared" si="8"/>
        <v>134400</v>
      </c>
    </row>
    <row r="39" spans="3:15">
      <c r="C39" s="129"/>
      <c r="D39" s="76"/>
      <c r="E39" s="77"/>
      <c r="F39" s="78"/>
      <c r="G39" s="129"/>
      <c r="H39" s="70">
        <f t="shared" si="9"/>
        <v>0</v>
      </c>
      <c r="I39" s="70"/>
      <c r="J39" s="70">
        <f t="shared" si="8"/>
        <v>0</v>
      </c>
    </row>
    <row r="40" spans="3:15">
      <c r="C40" s="80" t="s">
        <v>21</v>
      </c>
      <c r="D40" s="87" t="s">
        <v>71</v>
      </c>
      <c r="E40" s="88"/>
      <c r="F40" s="89"/>
      <c r="G40" s="80"/>
      <c r="H40" s="83">
        <f>SUM(H26:H38)</f>
        <v>2901300</v>
      </c>
      <c r="I40" s="83"/>
      <c r="J40" s="83">
        <f>SUM(J26:J38)</f>
        <v>4502800</v>
      </c>
    </row>
    <row r="41" spans="3:15">
      <c r="C41" s="80" t="s">
        <v>22</v>
      </c>
      <c r="D41" s="87" t="s">
        <v>72</v>
      </c>
      <c r="E41" s="88"/>
      <c r="F41" s="89"/>
      <c r="G41" s="80"/>
      <c r="H41" s="83">
        <f>+H40+H20+H25</f>
        <v>9332300</v>
      </c>
      <c r="I41" s="83"/>
      <c r="J41" s="83">
        <f>+J40+J20+J25</f>
        <v>19318800</v>
      </c>
    </row>
    <row r="42" spans="3:15">
      <c r="C42" s="129"/>
      <c r="D42" s="50" t="s">
        <v>54</v>
      </c>
      <c r="E42" s="130" t="s">
        <v>55</v>
      </c>
      <c r="F42" s="51">
        <v>50000</v>
      </c>
      <c r="G42" s="129"/>
      <c r="H42" s="9">
        <f t="shared" ref="H42:H44" si="10">G42*F42</f>
        <v>0</v>
      </c>
      <c r="I42" s="129">
        <v>30</v>
      </c>
      <c r="J42" s="9">
        <f>I42*F42</f>
        <v>1500000</v>
      </c>
    </row>
    <row r="43" spans="3:15">
      <c r="C43" s="129"/>
      <c r="D43" s="74" t="s">
        <v>73</v>
      </c>
      <c r="E43" s="55" t="s">
        <v>62</v>
      </c>
      <c r="F43" s="56">
        <v>11500</v>
      </c>
      <c r="G43" s="129">
        <v>990</v>
      </c>
      <c r="H43" s="9">
        <f>+G43*F43</f>
        <v>11385000</v>
      </c>
      <c r="I43" s="129">
        <v>2490</v>
      </c>
      <c r="J43" s="9">
        <f t="shared" ref="J43:J44" si="11">I43*F43</f>
        <v>28635000</v>
      </c>
    </row>
    <row r="44" spans="3:15">
      <c r="C44" s="129"/>
      <c r="D44" s="8" t="s">
        <v>25</v>
      </c>
      <c r="E44" s="129" t="s">
        <v>19</v>
      </c>
      <c r="F44" s="24">
        <v>65500</v>
      </c>
      <c r="G44" s="129"/>
      <c r="H44" s="9">
        <f t="shared" si="10"/>
        <v>0</v>
      </c>
      <c r="I44" s="129">
        <v>940</v>
      </c>
      <c r="J44" s="9">
        <f t="shared" si="11"/>
        <v>61570000</v>
      </c>
    </row>
    <row r="45" spans="3:15">
      <c r="C45" s="11" t="s">
        <v>4</v>
      </c>
      <c r="D45" s="79" t="s">
        <v>0</v>
      </c>
      <c r="E45" s="1"/>
      <c r="F45" s="25"/>
      <c r="G45" s="14"/>
      <c r="H45" s="13">
        <f>+H43+H44</f>
        <v>11385000</v>
      </c>
      <c r="I45" s="116"/>
      <c r="J45" s="13">
        <f>+J42+J43+J44</f>
        <v>91705000</v>
      </c>
    </row>
    <row r="46" spans="3:15">
      <c r="C46" s="52"/>
      <c r="D46" s="74" t="s">
        <v>74</v>
      </c>
      <c r="E46" s="55" t="s">
        <v>64</v>
      </c>
      <c r="F46" s="56">
        <v>950</v>
      </c>
      <c r="G46" s="73">
        <v>1465</v>
      </c>
      <c r="H46" s="57">
        <f>+G46*F46</f>
        <v>1391750</v>
      </c>
      <c r="I46" s="59">
        <v>7605</v>
      </c>
      <c r="J46" s="57">
        <f>+I46*F46</f>
        <v>7224750</v>
      </c>
    </row>
    <row r="47" spans="3:15">
      <c r="C47" s="58">
        <v>0</v>
      </c>
      <c r="D47" s="55">
        <v>1</v>
      </c>
      <c r="E47" s="55">
        <v>2</v>
      </c>
      <c r="F47" s="78">
        <v>3</v>
      </c>
      <c r="G47" s="58">
        <v>4</v>
      </c>
      <c r="H47" s="59">
        <v>5</v>
      </c>
      <c r="I47" s="59">
        <v>6</v>
      </c>
      <c r="J47" s="59">
        <v>7</v>
      </c>
    </row>
    <row r="48" spans="3:15">
      <c r="C48" s="52"/>
      <c r="D48" s="74" t="s">
        <v>75</v>
      </c>
      <c r="E48" s="55" t="s">
        <v>64</v>
      </c>
      <c r="F48" s="56">
        <v>1050</v>
      </c>
      <c r="G48" s="73">
        <v>1750</v>
      </c>
      <c r="H48" s="57">
        <f t="shared" ref="H48:H50" si="12">+G48*F48</f>
        <v>1837500</v>
      </c>
      <c r="I48" s="59">
        <v>6935</v>
      </c>
      <c r="J48" s="57">
        <f t="shared" ref="J48:J50" si="13">+I48*F48</f>
        <v>7281750</v>
      </c>
      <c r="L48" s="38"/>
      <c r="O48" s="60"/>
    </row>
    <row r="49" spans="3:15">
      <c r="C49" s="52"/>
      <c r="D49" s="55" t="s">
        <v>76</v>
      </c>
      <c r="E49" s="55" t="s">
        <v>64</v>
      </c>
      <c r="F49" s="56">
        <v>1100</v>
      </c>
      <c r="G49" s="73">
        <v>60</v>
      </c>
      <c r="H49" s="57">
        <f t="shared" si="12"/>
        <v>66000</v>
      </c>
      <c r="I49" s="59">
        <v>670</v>
      </c>
      <c r="J49" s="57">
        <f t="shared" si="13"/>
        <v>737000</v>
      </c>
      <c r="L49" s="38"/>
      <c r="O49" s="60"/>
    </row>
    <row r="50" spans="3:15">
      <c r="C50" s="52"/>
      <c r="D50" s="74" t="s">
        <v>77</v>
      </c>
      <c r="E50" s="55" t="s">
        <v>64</v>
      </c>
      <c r="F50" s="56">
        <v>1250</v>
      </c>
      <c r="G50" s="73">
        <v>267</v>
      </c>
      <c r="H50" s="57">
        <f t="shared" si="12"/>
        <v>333750</v>
      </c>
      <c r="I50" s="59">
        <v>2667</v>
      </c>
      <c r="J50" s="57">
        <f t="shared" si="13"/>
        <v>3333750</v>
      </c>
      <c r="L50" s="38"/>
      <c r="O50" s="60"/>
    </row>
    <row r="51" spans="3:15">
      <c r="C51" s="90" t="s">
        <v>23</v>
      </c>
      <c r="D51" s="91" t="s">
        <v>79</v>
      </c>
      <c r="E51" s="85"/>
      <c r="F51" s="86"/>
      <c r="G51" s="92"/>
      <c r="H51" s="93">
        <f>+H46+H48+H49+H50</f>
        <v>3629000</v>
      </c>
      <c r="I51" s="93"/>
      <c r="J51" s="93">
        <f>+J46+J48+J49+J50</f>
        <v>18577250</v>
      </c>
      <c r="L51" s="38"/>
      <c r="O51" s="60"/>
    </row>
    <row r="52" spans="3:15">
      <c r="C52" s="90" t="s">
        <v>24</v>
      </c>
      <c r="D52" s="94" t="s">
        <v>30</v>
      </c>
      <c r="E52" s="90"/>
      <c r="F52" s="95"/>
      <c r="G52" s="96"/>
      <c r="H52" s="93">
        <f>+H51+H45+H41+H17</f>
        <v>24346300</v>
      </c>
      <c r="I52" s="117"/>
      <c r="J52" s="93">
        <f>+J51+J45+J41+J17</f>
        <v>132961050</v>
      </c>
      <c r="K52" s="7">
        <f>+H52*2%</f>
        <v>486926</v>
      </c>
      <c r="L52" s="38"/>
      <c r="O52" s="60"/>
    </row>
    <row r="53" spans="3:15">
      <c r="C53" s="52"/>
      <c r="D53" s="53" t="s">
        <v>56</v>
      </c>
      <c r="E53" s="55" t="s">
        <v>57</v>
      </c>
      <c r="F53" s="56">
        <v>117612</v>
      </c>
      <c r="G53" s="58"/>
      <c r="H53" s="57" t="s">
        <v>78</v>
      </c>
      <c r="I53" s="59">
        <v>3</v>
      </c>
      <c r="J53" s="57">
        <f>+I53*F53</f>
        <v>352836</v>
      </c>
      <c r="K53" s="39">
        <f>+H52-K52</f>
        <v>23859374</v>
      </c>
      <c r="L53" s="37"/>
      <c r="O53" s="60"/>
    </row>
    <row r="54" spans="3:15">
      <c r="C54" s="52"/>
      <c r="D54" s="54" t="s">
        <v>58</v>
      </c>
      <c r="E54" s="55" t="s">
        <v>57</v>
      </c>
      <c r="F54" s="56">
        <v>137700</v>
      </c>
      <c r="G54" s="58"/>
      <c r="H54" s="57">
        <f t="shared" ref="H54:H55" si="14">+G54*F54</f>
        <v>0</v>
      </c>
      <c r="I54" s="59">
        <v>1</v>
      </c>
      <c r="J54" s="57">
        <f t="shared" ref="J54:J55" si="15">+I54*F54</f>
        <v>137700</v>
      </c>
      <c r="K54" s="39">
        <f>+H72+K53</f>
        <v>53370424</v>
      </c>
      <c r="L54" s="37"/>
      <c r="O54" s="60"/>
    </row>
    <row r="55" spans="3:15">
      <c r="C55" s="52"/>
      <c r="D55" s="17" t="s">
        <v>26</v>
      </c>
      <c r="E55" s="18" t="s">
        <v>27</v>
      </c>
      <c r="F55" s="26">
        <v>650000</v>
      </c>
      <c r="G55" s="58">
        <v>1</v>
      </c>
      <c r="H55" s="57">
        <f t="shared" si="14"/>
        <v>650000</v>
      </c>
      <c r="I55" s="58">
        <v>8</v>
      </c>
      <c r="J55" s="57">
        <f t="shared" si="15"/>
        <v>5200000</v>
      </c>
      <c r="K55" s="7">
        <f>+K54*0.1</f>
        <v>5337042.4000000004</v>
      </c>
      <c r="L55" s="37"/>
      <c r="O55" s="60"/>
    </row>
    <row r="56" spans="3:15">
      <c r="C56" s="11" t="s">
        <v>5</v>
      </c>
      <c r="D56" s="12" t="s">
        <v>28</v>
      </c>
      <c r="E56" s="11"/>
      <c r="F56" s="13"/>
      <c r="G56" s="14"/>
      <c r="H56" s="13">
        <f>SUM(H53:H55)</f>
        <v>650000</v>
      </c>
      <c r="I56" s="116"/>
      <c r="J56" s="13">
        <f t="shared" ref="J56" si="16">SUM(J53:J55)</f>
        <v>5690536</v>
      </c>
      <c r="K56" s="39">
        <f>+K55+K54</f>
        <v>58707466.399999999</v>
      </c>
      <c r="L56" s="37"/>
      <c r="O56" s="61"/>
    </row>
    <row r="57" spans="3:15">
      <c r="C57" s="52"/>
      <c r="D57" s="74" t="s">
        <v>100</v>
      </c>
      <c r="E57" s="55" t="s">
        <v>67</v>
      </c>
      <c r="F57" s="56">
        <f>35500*90%</f>
        <v>31950</v>
      </c>
      <c r="G57" s="123">
        <v>25</v>
      </c>
      <c r="H57" s="123">
        <f>+G57*F57</f>
        <v>798750</v>
      </c>
      <c r="I57" s="123">
        <v>37</v>
      </c>
      <c r="J57" s="123">
        <f>+I57*F57</f>
        <v>1182150</v>
      </c>
      <c r="K57" s="7"/>
      <c r="L57" s="37"/>
      <c r="O57" s="62"/>
    </row>
    <row r="58" spans="3:15">
      <c r="C58" s="52"/>
      <c r="D58" s="74" t="s">
        <v>101</v>
      </c>
      <c r="E58" s="55" t="s">
        <v>67</v>
      </c>
      <c r="F58" s="56">
        <f>36000*90%</f>
        <v>32400</v>
      </c>
      <c r="G58" s="123">
        <v>50</v>
      </c>
      <c r="H58" s="123">
        <f t="shared" ref="H58:H65" si="17">+G58*F58</f>
        <v>1620000</v>
      </c>
      <c r="I58" s="123">
        <v>110</v>
      </c>
      <c r="J58" s="123">
        <f t="shared" ref="J58:J68" si="18">+I58*F58</f>
        <v>3564000</v>
      </c>
      <c r="K58" s="7"/>
      <c r="L58" s="37"/>
      <c r="O58" s="62"/>
    </row>
    <row r="59" spans="3:15">
      <c r="C59" s="52"/>
      <c r="D59" s="74" t="s">
        <v>102</v>
      </c>
      <c r="E59" s="55" t="s">
        <v>103</v>
      </c>
      <c r="F59" s="56">
        <f>16000*90%</f>
        <v>14400</v>
      </c>
      <c r="G59" s="123">
        <v>50</v>
      </c>
      <c r="H59" s="123">
        <f t="shared" si="17"/>
        <v>720000</v>
      </c>
      <c r="I59" s="123">
        <v>110</v>
      </c>
      <c r="J59" s="123">
        <f t="shared" si="18"/>
        <v>1584000</v>
      </c>
      <c r="K59" s="7"/>
      <c r="L59" s="37"/>
      <c r="O59" s="62"/>
    </row>
    <row r="60" spans="3:15">
      <c r="C60" s="52"/>
      <c r="D60" s="74" t="s">
        <v>104</v>
      </c>
      <c r="E60" s="55" t="s">
        <v>105</v>
      </c>
      <c r="F60" s="56">
        <f>16000*90%</f>
        <v>14400</v>
      </c>
      <c r="G60" s="123"/>
      <c r="H60" s="123">
        <f t="shared" si="17"/>
        <v>0</v>
      </c>
      <c r="I60" s="123">
        <v>1</v>
      </c>
      <c r="J60" s="123">
        <f t="shared" si="18"/>
        <v>14400</v>
      </c>
      <c r="L60" s="37"/>
      <c r="O60" s="62"/>
    </row>
    <row r="61" spans="3:15">
      <c r="C61" s="52"/>
      <c r="D61" s="74" t="s">
        <v>106</v>
      </c>
      <c r="E61" s="55" t="s">
        <v>67</v>
      </c>
      <c r="F61" s="56">
        <f>25000*0.9</f>
        <v>22500</v>
      </c>
      <c r="G61" s="73"/>
      <c r="H61" s="123">
        <f t="shared" si="17"/>
        <v>0</v>
      </c>
      <c r="I61" s="123">
        <v>17</v>
      </c>
      <c r="J61" s="123">
        <f t="shared" si="18"/>
        <v>382500</v>
      </c>
      <c r="O61" s="62"/>
    </row>
    <row r="62" spans="3:15">
      <c r="C62" s="52"/>
      <c r="D62" s="74" t="s">
        <v>107</v>
      </c>
      <c r="E62" s="55" t="s">
        <v>67</v>
      </c>
      <c r="F62" s="56">
        <f>30000*90%</f>
        <v>27000</v>
      </c>
      <c r="G62" s="73">
        <v>417</v>
      </c>
      <c r="H62" s="123">
        <f t="shared" si="17"/>
        <v>11259000</v>
      </c>
      <c r="I62" s="123">
        <v>626</v>
      </c>
      <c r="J62" s="123">
        <f t="shared" si="18"/>
        <v>16902000</v>
      </c>
      <c r="O62" s="62"/>
    </row>
    <row r="63" spans="3:15">
      <c r="C63" s="52"/>
      <c r="D63" s="74" t="s">
        <v>108</v>
      </c>
      <c r="E63" s="55" t="s">
        <v>67</v>
      </c>
      <c r="F63" s="56">
        <f>(32000+40000+16000)*0.9</f>
        <v>79200</v>
      </c>
      <c r="G63" s="73">
        <v>25</v>
      </c>
      <c r="H63" s="123">
        <f t="shared" si="17"/>
        <v>1980000</v>
      </c>
      <c r="I63" s="123">
        <v>33</v>
      </c>
      <c r="J63" s="123">
        <f t="shared" si="18"/>
        <v>2613600</v>
      </c>
      <c r="O63" s="62"/>
    </row>
    <row r="64" spans="3:15">
      <c r="C64" s="52"/>
      <c r="D64" s="136" t="s">
        <v>120</v>
      </c>
      <c r="E64" s="137" t="s">
        <v>67</v>
      </c>
      <c r="F64" s="138">
        <f>29000*90%</f>
        <v>26100</v>
      </c>
      <c r="G64" s="73">
        <v>60</v>
      </c>
      <c r="H64" s="123">
        <f t="shared" si="17"/>
        <v>1566000</v>
      </c>
      <c r="I64" s="123">
        <v>60</v>
      </c>
      <c r="J64" s="123">
        <f t="shared" si="18"/>
        <v>1566000</v>
      </c>
      <c r="O64" s="62"/>
    </row>
    <row r="65" spans="3:15">
      <c r="C65" s="52"/>
      <c r="D65" s="74" t="s">
        <v>109</v>
      </c>
      <c r="E65" s="55" t="s">
        <v>67</v>
      </c>
      <c r="F65" s="56">
        <f>36000*0.9</f>
        <v>32400</v>
      </c>
      <c r="G65" s="73">
        <v>25</v>
      </c>
      <c r="H65" s="123">
        <f t="shared" si="17"/>
        <v>810000</v>
      </c>
      <c r="I65" s="123">
        <v>37</v>
      </c>
      <c r="J65" s="123">
        <f t="shared" si="18"/>
        <v>1198800</v>
      </c>
      <c r="O65" s="62"/>
    </row>
    <row r="66" spans="3:15">
      <c r="C66" s="52"/>
      <c r="D66" s="74" t="s">
        <v>110</v>
      </c>
      <c r="E66" s="55" t="s">
        <v>67</v>
      </c>
      <c r="F66" s="56">
        <f>9000*90%</f>
        <v>8100</v>
      </c>
      <c r="G66" s="73">
        <v>135</v>
      </c>
      <c r="H66" s="123">
        <f>+G66*F66</f>
        <v>1093500</v>
      </c>
      <c r="I66" s="123">
        <v>160</v>
      </c>
      <c r="J66" s="123">
        <f t="shared" si="18"/>
        <v>1296000</v>
      </c>
      <c r="O66" s="62"/>
    </row>
    <row r="67" spans="3:15">
      <c r="C67" s="52"/>
      <c r="D67" s="74" t="s">
        <v>111</v>
      </c>
      <c r="E67" s="55" t="s">
        <v>67</v>
      </c>
      <c r="F67" s="56">
        <f>6000*90%</f>
        <v>5400</v>
      </c>
      <c r="G67" s="73">
        <v>222</v>
      </c>
      <c r="H67" s="123">
        <f>+G67*F67</f>
        <v>1198800</v>
      </c>
      <c r="I67" s="123">
        <v>431</v>
      </c>
      <c r="J67" s="123">
        <f t="shared" si="18"/>
        <v>2327400</v>
      </c>
      <c r="O67" s="62"/>
    </row>
    <row r="68" spans="3:15">
      <c r="C68" s="52"/>
      <c r="D68" s="134" t="s">
        <v>121</v>
      </c>
      <c r="E68" s="105" t="s">
        <v>67</v>
      </c>
      <c r="F68" s="106">
        <v>105000</v>
      </c>
      <c r="G68" s="73">
        <v>3</v>
      </c>
      <c r="H68" s="123">
        <f>+G68*F68</f>
        <v>315000</v>
      </c>
      <c r="I68" s="123">
        <v>3</v>
      </c>
      <c r="J68" s="123">
        <f t="shared" si="18"/>
        <v>315000</v>
      </c>
      <c r="O68" s="62"/>
    </row>
    <row r="69" spans="3:15">
      <c r="C69" s="52" t="s">
        <v>82</v>
      </c>
      <c r="D69" s="120" t="s">
        <v>112</v>
      </c>
      <c r="E69" s="52"/>
      <c r="F69" s="72"/>
      <c r="G69" s="71"/>
      <c r="H69" s="72">
        <f>SUM(H57:H68)</f>
        <v>21361050</v>
      </c>
      <c r="I69" s="72"/>
      <c r="J69" s="72">
        <f>SUM(J57:J68)</f>
        <v>32945850</v>
      </c>
      <c r="O69" s="62"/>
    </row>
    <row r="70" spans="3:15">
      <c r="C70" s="52"/>
      <c r="D70" s="134" t="s">
        <v>115</v>
      </c>
      <c r="E70" s="105" t="s">
        <v>57</v>
      </c>
      <c r="F70" s="106">
        <v>2500000</v>
      </c>
      <c r="G70" s="73">
        <v>3</v>
      </c>
      <c r="H70" s="57">
        <f>+G70*F70</f>
        <v>7500000</v>
      </c>
      <c r="I70" s="57">
        <f>+G70</f>
        <v>3</v>
      </c>
      <c r="J70" s="57">
        <f>+H70</f>
        <v>7500000</v>
      </c>
      <c r="O70" s="62"/>
    </row>
    <row r="71" spans="3:15">
      <c r="C71" s="52"/>
      <c r="D71" s="135" t="s">
        <v>122</v>
      </c>
      <c r="E71" s="105"/>
      <c r="F71" s="106"/>
      <c r="G71" s="73"/>
      <c r="H71" s="72">
        <f>+H70</f>
        <v>7500000</v>
      </c>
      <c r="I71" s="72"/>
      <c r="J71" s="72">
        <f>+J70</f>
        <v>7500000</v>
      </c>
      <c r="O71" s="62"/>
    </row>
    <row r="72" spans="3:15">
      <c r="C72" s="11" t="s">
        <v>94</v>
      </c>
      <c r="D72" s="12" t="s">
        <v>31</v>
      </c>
      <c r="E72" s="11"/>
      <c r="F72" s="13"/>
      <c r="G72" s="14"/>
      <c r="H72" s="13">
        <f>+H69+H56+H71</f>
        <v>29511050</v>
      </c>
      <c r="I72" s="13"/>
      <c r="J72" s="13">
        <f>+J69+J56+J71</f>
        <v>46136386</v>
      </c>
      <c r="O72" s="62"/>
    </row>
    <row r="73" spans="3:15">
      <c r="C73" s="52"/>
      <c r="D73" s="97" t="s">
        <v>29</v>
      </c>
      <c r="E73" s="52"/>
      <c r="F73" s="72"/>
      <c r="G73" s="71"/>
      <c r="H73" s="57">
        <v>0</v>
      </c>
      <c r="I73" s="59"/>
      <c r="J73" s="57">
        <v>0</v>
      </c>
      <c r="K73" s="122"/>
      <c r="L73" s="39"/>
      <c r="O73" s="63"/>
    </row>
    <row r="74" spans="3:15">
      <c r="C74" s="11" t="s">
        <v>95</v>
      </c>
      <c r="D74" s="12" t="s">
        <v>32</v>
      </c>
      <c r="E74" s="11"/>
      <c r="F74" s="13"/>
      <c r="G74" s="14"/>
      <c r="H74" s="13">
        <f>H52+H72</f>
        <v>53857350</v>
      </c>
      <c r="I74" s="116"/>
      <c r="J74" s="13">
        <f>J52+J72</f>
        <v>179097436</v>
      </c>
      <c r="O74" s="63"/>
    </row>
    <row r="75" spans="3:15">
      <c r="C75" s="11" t="s">
        <v>96</v>
      </c>
      <c r="D75" s="12" t="s">
        <v>3</v>
      </c>
      <c r="E75" s="11"/>
      <c r="F75" s="13"/>
      <c r="G75" s="14"/>
      <c r="H75" s="13">
        <f>+H73*0.1+H74*0.1</f>
        <v>5385735</v>
      </c>
      <c r="I75" s="116"/>
      <c r="J75" s="13">
        <f>+J73*0.1+J74*0.1</f>
        <v>17909743.600000001</v>
      </c>
      <c r="O75" s="61"/>
    </row>
    <row r="76" spans="3:15">
      <c r="C76" s="11" t="s">
        <v>113</v>
      </c>
      <c r="D76" s="12" t="s">
        <v>59</v>
      </c>
      <c r="E76" s="11"/>
      <c r="F76" s="13"/>
      <c r="G76" s="14"/>
      <c r="H76" s="13">
        <f>SUM(H73:H75)</f>
        <v>59243085</v>
      </c>
      <c r="I76" s="116"/>
      <c r="J76" s="13">
        <f>SUM(J73:J75)</f>
        <v>197007179.59999999</v>
      </c>
      <c r="O76" s="60"/>
    </row>
    <row r="77" spans="3:15">
      <c r="D77" s="4"/>
      <c r="O77" s="61"/>
    </row>
    <row r="78" spans="3:15">
      <c r="D78" s="4" t="s">
        <v>34</v>
      </c>
      <c r="H78" s="227"/>
      <c r="I78" s="227"/>
    </row>
    <row r="79" spans="3:15">
      <c r="D79" s="128" t="s">
        <v>35</v>
      </c>
      <c r="G79" s="127" t="s">
        <v>36</v>
      </c>
      <c r="H79" s="28"/>
    </row>
    <row r="80" spans="3:15">
      <c r="D80" s="128"/>
      <c r="H80" s="127"/>
    </row>
    <row r="81" spans="4:8">
      <c r="D81" s="128" t="s">
        <v>51</v>
      </c>
      <c r="G81" s="127" t="s">
        <v>52</v>
      </c>
      <c r="H81" s="28"/>
    </row>
    <row r="82" spans="4:8">
      <c r="D82" s="128"/>
      <c r="G82" s="127"/>
      <c r="H82" s="127"/>
    </row>
    <row r="83" spans="4:8">
      <c r="D83" s="75" t="s">
        <v>40</v>
      </c>
      <c r="G83" s="127" t="s">
        <v>38</v>
      </c>
      <c r="H83" s="127"/>
    </row>
    <row r="84" spans="4:8">
      <c r="D84" s="4" t="s">
        <v>41</v>
      </c>
      <c r="H84" s="127"/>
    </row>
    <row r="86" spans="4:8">
      <c r="D86" s="7" t="s">
        <v>42</v>
      </c>
      <c r="G86" s="127" t="s">
        <v>43</v>
      </c>
    </row>
    <row r="88" spans="4:8">
      <c r="D88" s="4" t="s">
        <v>44</v>
      </c>
    </row>
    <row r="89" spans="4:8">
      <c r="D89" s="7" t="s">
        <v>45</v>
      </c>
      <c r="G89" s="127" t="s">
        <v>47</v>
      </c>
    </row>
    <row r="90" spans="4:8">
      <c r="G90" s="127"/>
    </row>
    <row r="91" spans="4:8">
      <c r="D91" s="7" t="s">
        <v>46</v>
      </c>
      <c r="G91" s="7" t="s">
        <v>48</v>
      </c>
    </row>
  </sheetData>
  <mergeCells count="14">
    <mergeCell ref="H78:I78"/>
    <mergeCell ref="C12:J12"/>
    <mergeCell ref="C13:C14"/>
    <mergeCell ref="D13:D14"/>
    <mergeCell ref="E13:E14"/>
    <mergeCell ref="F13:F14"/>
    <mergeCell ref="G13:H13"/>
    <mergeCell ref="I13:J13"/>
    <mergeCell ref="C10:J10"/>
    <mergeCell ref="C1:J1"/>
    <mergeCell ref="C2:J2"/>
    <mergeCell ref="C3:J3"/>
    <mergeCell ref="D6:J6"/>
    <mergeCell ref="D7:J7"/>
  </mergeCells>
  <pageMargins left="0.70866141732283472" right="0.70866141732283472" top="0.55118110236220474" bottom="0.55118110236220474" header="0.31496062992125984" footer="0.31496062992125984"/>
  <pageSetup paperSize="9"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15D9-BB5A-4397-B79D-A3A7058886BD}">
  <dimension ref="C1:O106"/>
  <sheetViews>
    <sheetView topLeftCell="A43" workbookViewId="0">
      <selection activeCell="H48" sqref="H48"/>
    </sheetView>
  </sheetViews>
  <sheetFormatPr defaultColWidth="9" defaultRowHeight="13.8"/>
  <cols>
    <col min="1" max="1" width="4.7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25" t="s">
        <v>13</v>
      </c>
      <c r="D1" s="225"/>
      <c r="E1" s="225"/>
      <c r="F1" s="225"/>
      <c r="G1" s="225"/>
      <c r="H1" s="225"/>
      <c r="I1" s="225"/>
      <c r="J1" s="225"/>
    </row>
    <row r="2" spans="3:10">
      <c r="C2" s="225" t="s">
        <v>14</v>
      </c>
      <c r="D2" s="225"/>
      <c r="E2" s="225"/>
      <c r="F2" s="225"/>
      <c r="G2" s="225"/>
      <c r="H2" s="225"/>
      <c r="I2" s="225"/>
      <c r="J2" s="225"/>
    </row>
    <row r="3" spans="3:10">
      <c r="C3" s="225" t="s">
        <v>15</v>
      </c>
      <c r="D3" s="225"/>
      <c r="E3" s="225"/>
      <c r="F3" s="225"/>
      <c r="G3" s="225"/>
      <c r="H3" s="225"/>
      <c r="I3" s="225"/>
      <c r="J3" s="225"/>
    </row>
    <row r="6" spans="3:10">
      <c r="D6" s="226" t="s">
        <v>16</v>
      </c>
      <c r="E6" s="226"/>
      <c r="F6" s="226"/>
      <c r="G6" s="226"/>
      <c r="H6" s="226"/>
      <c r="I6" s="226"/>
      <c r="J6" s="226"/>
    </row>
    <row r="7" spans="3:10">
      <c r="D7" s="226" t="s">
        <v>12</v>
      </c>
      <c r="E7" s="226"/>
      <c r="F7" s="226"/>
      <c r="G7" s="226"/>
      <c r="H7" s="226"/>
      <c r="I7" s="226"/>
      <c r="J7" s="226"/>
    </row>
    <row r="8" spans="3:10">
      <c r="D8" s="140"/>
      <c r="E8" s="140"/>
      <c r="F8" s="140"/>
      <c r="H8" s="189" t="s">
        <v>17</v>
      </c>
    </row>
    <row r="9" spans="3:10">
      <c r="D9" s="140"/>
      <c r="E9" s="140"/>
      <c r="F9" s="140"/>
      <c r="G9" s="189"/>
      <c r="H9" s="189"/>
    </row>
    <row r="10" spans="3:10">
      <c r="C10" s="225" t="s">
        <v>123</v>
      </c>
      <c r="D10" s="225"/>
      <c r="E10" s="225"/>
      <c r="F10" s="225"/>
      <c r="G10" s="225"/>
      <c r="H10" s="225"/>
      <c r="I10" s="225"/>
      <c r="J10" s="225"/>
    </row>
    <row r="11" spans="3:10">
      <c r="C11" s="139"/>
      <c r="D11" s="139"/>
      <c r="E11" s="139"/>
      <c r="F11" s="139"/>
      <c r="G11" s="190"/>
      <c r="H11" s="190"/>
      <c r="J11" s="190"/>
    </row>
    <row r="12" spans="3:10">
      <c r="C12" s="225" t="s">
        <v>18</v>
      </c>
      <c r="D12" s="225"/>
      <c r="E12" s="225"/>
      <c r="F12" s="225"/>
      <c r="G12" s="225"/>
      <c r="H12" s="225"/>
      <c r="I12" s="225"/>
      <c r="J12" s="225"/>
    </row>
    <row r="13" spans="3:10" ht="21.6" customHeight="1">
      <c r="C13" s="237" t="s">
        <v>11</v>
      </c>
      <c r="D13" s="237" t="s">
        <v>1</v>
      </c>
      <c r="E13" s="238" t="s">
        <v>7</v>
      </c>
      <c r="F13" s="238" t="s">
        <v>8</v>
      </c>
      <c r="G13" s="240" t="s">
        <v>9</v>
      </c>
      <c r="H13" s="240"/>
      <c r="I13" s="240" t="s">
        <v>10</v>
      </c>
      <c r="J13" s="240"/>
    </row>
    <row r="14" spans="3:10">
      <c r="C14" s="237"/>
      <c r="D14" s="237"/>
      <c r="E14" s="239"/>
      <c r="F14" s="239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856</v>
      </c>
      <c r="H19" s="191">
        <f>+G19*F19</f>
        <v>2910400</v>
      </c>
      <c r="I19" s="191">
        <v>856</v>
      </c>
      <c r="J19" s="191">
        <f>+I19*F19</f>
        <v>2910400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2910400</v>
      </c>
      <c r="I21" s="193"/>
      <c r="J21" s="193">
        <f t="shared" ref="J21" si="1">SUM(J18:J20)</f>
        <v>10718400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/>
      <c r="H28" s="194">
        <f>+G28*F28</f>
        <v>0</v>
      </c>
      <c r="I28" s="194">
        <v>35</v>
      </c>
      <c r="J28" s="191">
        <f t="shared" si="5"/>
        <v>360500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5</v>
      </c>
      <c r="H30" s="191">
        <f t="shared" si="6"/>
        <v>42500</v>
      </c>
      <c r="I30" s="194">
        <v>5</v>
      </c>
      <c r="J30" s="191">
        <f>+I30*F30</f>
        <v>42500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/>
      <c r="H32" s="191">
        <f t="shared" si="6"/>
        <v>0</v>
      </c>
      <c r="I32" s="194">
        <v>12</v>
      </c>
      <c r="J32" s="191">
        <f t="shared" si="7"/>
        <v>55200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231</v>
      </c>
      <c r="J33" s="191">
        <f>+I33*F33</f>
        <v>1270500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42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>
        <v>40</v>
      </c>
      <c r="H36" s="191">
        <f t="shared" si="9"/>
        <v>340000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>
        <v>2</v>
      </c>
      <c r="H37" s="191">
        <f t="shared" si="9"/>
        <v>13000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 t="shared" si="8"/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 t="shared" si="8"/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 t="shared" si="8"/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 t="shared" si="8"/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 t="shared" si="8"/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538500</v>
      </c>
      <c r="I43" s="193"/>
      <c r="J43" s="193">
        <f>SUM(J27:J42)</f>
        <v>5041300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3448900</v>
      </c>
      <c r="I44" s="193"/>
      <c r="J44" s="193">
        <f>+J43+J21+J26</f>
        <v>22767700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>
        <v>180</v>
      </c>
      <c r="H45" s="194">
        <f>+F45*G45</f>
        <v>6300000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>
        <v>74</v>
      </c>
      <c r="H46" s="194">
        <f t="shared" ref="H46:H47" si="10">+F46*G46</f>
        <v>33300000</v>
      </c>
      <c r="I46" s="194">
        <v>74</v>
      </c>
      <c r="J46" s="194">
        <f t="shared" ref="J46:J47" si="11"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>
        <v>4270</v>
      </c>
      <c r="H47" s="194">
        <f t="shared" si="10"/>
        <v>4483500</v>
      </c>
      <c r="I47" s="194">
        <v>4270</v>
      </c>
      <c r="J47" s="194">
        <f t="shared" si="11"/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44083500</v>
      </c>
      <c r="I48" s="193"/>
      <c r="J48" s="193">
        <f t="shared" ref="J48" si="12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3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>
        <v>30</v>
      </c>
      <c r="H50" s="195">
        <f t="shared" si="13"/>
        <v>1050000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>
        <v>740</v>
      </c>
      <c r="H51" s="195">
        <f>+G51*F51</f>
        <v>8510000</v>
      </c>
      <c r="I51" s="191">
        <v>3230</v>
      </c>
      <c r="J51" s="195">
        <f t="shared" ref="J51:J52" si="14"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/>
      <c r="H52" s="195">
        <f t="shared" si="13"/>
        <v>0</v>
      </c>
      <c r="I52" s="191">
        <v>940</v>
      </c>
      <c r="J52" s="195">
        <f t="shared" si="14"/>
        <v>61570000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9560000</v>
      </c>
      <c r="I53" s="196"/>
      <c r="J53" s="196">
        <f>+J51+J52+J50+J49</f>
        <v>101265000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>
        <v>1460</v>
      </c>
      <c r="H54" s="197">
        <f>+G54*F54</f>
        <v>1387000</v>
      </c>
      <c r="I54" s="194">
        <v>9065</v>
      </c>
      <c r="J54" s="197">
        <f>+I54*F54</f>
        <v>8611750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>
        <v>533.24080000000004</v>
      </c>
      <c r="H55" s="197">
        <f t="shared" ref="H55:H57" si="15">+G55*F55</f>
        <v>559902.84000000008</v>
      </c>
      <c r="I55" s="194">
        <v>7468.2407999999996</v>
      </c>
      <c r="J55" s="197">
        <f t="shared" ref="J55:J57" si="16">+I55*F55</f>
        <v>7841652.8399999999</v>
      </c>
      <c r="L55" s="38"/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>
        <v>110</v>
      </c>
      <c r="H56" s="197">
        <f t="shared" si="15"/>
        <v>121000</v>
      </c>
      <c r="I56" s="194">
        <v>780</v>
      </c>
      <c r="J56" s="197">
        <f t="shared" si="16"/>
        <v>858000</v>
      </c>
      <c r="L56" s="38"/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>
        <v>1593</v>
      </c>
      <c r="H57" s="197">
        <f t="shared" si="15"/>
        <v>1991250</v>
      </c>
      <c r="I57" s="194">
        <v>4260</v>
      </c>
      <c r="J57" s="197">
        <f t="shared" si="16"/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4059152.84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61151552.840000004</v>
      </c>
      <c r="I59" s="199"/>
      <c r="J59" s="199">
        <f>+J58+J53+J44+J17+J48</f>
        <v>194112602.84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7">+G61*F61</f>
        <v>0</v>
      </c>
      <c r="I61" s="194">
        <v>1</v>
      </c>
      <c r="J61" s="197">
        <f t="shared" ref="J61:J62" si="18"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7"/>
        <v>650000</v>
      </c>
      <c r="I62" s="194">
        <v>9</v>
      </c>
      <c r="J62" s="197">
        <f t="shared" si="18"/>
        <v>5850000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9">SUM(J60:J62)</f>
        <v>6340536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>+I64*F64</f>
        <v>1182150</v>
      </c>
      <c r="K64" s="7"/>
      <c r="L64" s="37"/>
      <c r="O64" s="62"/>
    </row>
    <row r="65" spans="3:15">
      <c r="C65" s="172"/>
      <c r="D65" s="141" t="s">
        <v>101</v>
      </c>
      <c r="E65" s="142" t="s">
        <v>67</v>
      </c>
      <c r="F65" s="143">
        <f>36000*90%</f>
        <v>32400</v>
      </c>
      <c r="G65" s="201">
        <v>55</v>
      </c>
      <c r="H65" s="201">
        <f t="shared" ref="H65:H73" si="20">+G65*F65</f>
        <v>1782000</v>
      </c>
      <c r="I65" s="201">
        <v>165</v>
      </c>
      <c r="J65" s="201">
        <f t="shared" ref="J65:J82" si="21">+I65*F65</f>
        <v>5346000</v>
      </c>
      <c r="K65" s="7"/>
      <c r="L65" s="37"/>
      <c r="O65" s="62"/>
    </row>
    <row r="66" spans="3:15">
      <c r="C66" s="172"/>
      <c r="D66" s="141" t="s">
        <v>102</v>
      </c>
      <c r="E66" s="142" t="s">
        <v>103</v>
      </c>
      <c r="F66" s="143">
        <f>16000*90%</f>
        <v>14400</v>
      </c>
      <c r="G66" s="201">
        <v>55</v>
      </c>
      <c r="H66" s="201">
        <f t="shared" si="20"/>
        <v>792000</v>
      </c>
      <c r="I66" s="201">
        <v>165</v>
      </c>
      <c r="J66" s="201">
        <f t="shared" si="21"/>
        <v>2376000</v>
      </c>
      <c r="K66" s="7"/>
      <c r="L66" s="37"/>
      <c r="O66" s="62"/>
    </row>
    <row r="67" spans="3:15">
      <c r="C67" s="172"/>
      <c r="D67" s="141" t="s">
        <v>133</v>
      </c>
      <c r="E67" s="142" t="s">
        <v>67</v>
      </c>
      <c r="F67" s="143">
        <f>36000*90%</f>
        <v>32400</v>
      </c>
      <c r="G67" s="201">
        <v>15</v>
      </c>
      <c r="H67" s="201">
        <f t="shared" si="20"/>
        <v>486000</v>
      </c>
      <c r="I67" s="201">
        <v>15</v>
      </c>
      <c r="J67" s="201">
        <f t="shared" si="21"/>
        <v>486000</v>
      </c>
      <c r="K67" s="7"/>
      <c r="L67" s="37"/>
      <c r="O67" s="62"/>
    </row>
    <row r="68" spans="3:15">
      <c r="C68" s="172"/>
      <c r="D68" s="141" t="s">
        <v>104</v>
      </c>
      <c r="E68" s="142" t="s">
        <v>105</v>
      </c>
      <c r="F68" s="143">
        <f>16000*90%</f>
        <v>14400</v>
      </c>
      <c r="G68" s="201">
        <v>15</v>
      </c>
      <c r="H68" s="201">
        <f t="shared" si="20"/>
        <v>216000</v>
      </c>
      <c r="I68" s="201">
        <v>16</v>
      </c>
      <c r="J68" s="201">
        <f t="shared" si="21"/>
        <v>230400</v>
      </c>
      <c r="L68" s="37"/>
      <c r="O68" s="62"/>
    </row>
    <row r="69" spans="3:15">
      <c r="C69" s="172"/>
      <c r="D69" s="141" t="s">
        <v>106</v>
      </c>
      <c r="E69" s="142" t="s">
        <v>67</v>
      </c>
      <c r="F69" s="143">
        <f>25000*0.9</f>
        <v>22500</v>
      </c>
      <c r="G69" s="197">
        <v>856</v>
      </c>
      <c r="H69" s="201">
        <f t="shared" si="20"/>
        <v>19260000</v>
      </c>
      <c r="I69" s="201">
        <v>873</v>
      </c>
      <c r="J69" s="201">
        <f t="shared" si="21"/>
        <v>19642500</v>
      </c>
      <c r="O69" s="62"/>
    </row>
    <row r="70" spans="3:15">
      <c r="C70" s="172"/>
      <c r="D70" s="141" t="s">
        <v>107</v>
      </c>
      <c r="E70" s="142" t="s">
        <v>67</v>
      </c>
      <c r="F70" s="143">
        <f>30000*90%</f>
        <v>27000</v>
      </c>
      <c r="G70" s="197">
        <v>26</v>
      </c>
      <c r="H70" s="201">
        <f t="shared" si="20"/>
        <v>702000</v>
      </c>
      <c r="I70" s="201">
        <v>652</v>
      </c>
      <c r="J70" s="201">
        <f t="shared" si="21"/>
        <v>17604000</v>
      </c>
      <c r="O70" s="62"/>
    </row>
    <row r="71" spans="3:15">
      <c r="C71" s="172"/>
      <c r="D71" s="141" t="s">
        <v>108</v>
      </c>
      <c r="E71" s="142" t="s">
        <v>67</v>
      </c>
      <c r="F71" s="143">
        <f>(32000+40000+16000)*0.9</f>
        <v>79200</v>
      </c>
      <c r="G71" s="197">
        <v>17</v>
      </c>
      <c r="H71" s="201">
        <f t="shared" si="20"/>
        <v>1346400</v>
      </c>
      <c r="I71" s="201">
        <v>50</v>
      </c>
      <c r="J71" s="201">
        <f t="shared" si="21"/>
        <v>3960000</v>
      </c>
      <c r="O71" s="62"/>
    </row>
    <row r="72" spans="3:15">
      <c r="C72" s="172"/>
      <c r="D72" s="183" t="s">
        <v>120</v>
      </c>
      <c r="E72" s="184" t="s">
        <v>67</v>
      </c>
      <c r="F72" s="185">
        <f>29000*90%</f>
        <v>26100</v>
      </c>
      <c r="G72" s="197"/>
      <c r="H72" s="201">
        <f t="shared" si="20"/>
        <v>0</v>
      </c>
      <c r="I72" s="201">
        <v>60</v>
      </c>
      <c r="J72" s="201">
        <f t="shared" si="21"/>
        <v>1566000</v>
      </c>
      <c r="O72" s="62"/>
    </row>
    <row r="73" spans="3:15">
      <c r="C73" s="172"/>
      <c r="D73" s="141" t="s">
        <v>109</v>
      </c>
      <c r="E73" s="142" t="s">
        <v>67</v>
      </c>
      <c r="F73" s="143">
        <f>36000*0.9</f>
        <v>32400</v>
      </c>
      <c r="G73" s="197"/>
      <c r="H73" s="201">
        <f t="shared" si="20"/>
        <v>0</v>
      </c>
      <c r="I73" s="201">
        <v>37</v>
      </c>
      <c r="J73" s="201">
        <f t="shared" si="21"/>
        <v>1198800</v>
      </c>
      <c r="O73" s="62"/>
    </row>
    <row r="74" spans="3:15">
      <c r="C74" s="172"/>
      <c r="D74" s="141" t="s">
        <v>110</v>
      </c>
      <c r="E74" s="142" t="s">
        <v>67</v>
      </c>
      <c r="F74" s="143">
        <f>9000*90%</f>
        <v>8100</v>
      </c>
      <c r="G74" s="197">
        <v>26</v>
      </c>
      <c r="H74" s="201">
        <f>+G74*F74</f>
        <v>210600</v>
      </c>
      <c r="I74" s="201">
        <v>186</v>
      </c>
      <c r="J74" s="201">
        <f t="shared" si="21"/>
        <v>1506600</v>
      </c>
      <c r="O74" s="62"/>
    </row>
    <row r="75" spans="3:15">
      <c r="C75" s="172"/>
      <c r="D75" s="141" t="s">
        <v>111</v>
      </c>
      <c r="E75" s="142" t="s">
        <v>67</v>
      </c>
      <c r="F75" s="143">
        <f>6000*90%</f>
        <v>5400</v>
      </c>
      <c r="G75" s="197">
        <v>856</v>
      </c>
      <c r="H75" s="201">
        <f>+G75*F75</f>
        <v>4622400</v>
      </c>
      <c r="I75" s="201">
        <v>1287</v>
      </c>
      <c r="J75" s="201">
        <f t="shared" si="21"/>
        <v>6949800</v>
      </c>
      <c r="O75" s="62"/>
    </row>
    <row r="76" spans="3:15">
      <c r="C76" s="172"/>
      <c r="D76" s="141" t="s">
        <v>121</v>
      </c>
      <c r="E76" s="142" t="s">
        <v>67</v>
      </c>
      <c r="F76" s="143">
        <v>105000</v>
      </c>
      <c r="G76" s="197"/>
      <c r="H76" s="201">
        <f>+G76*F76</f>
        <v>0</v>
      </c>
      <c r="I76" s="201">
        <v>3</v>
      </c>
      <c r="J76" s="201">
        <f t="shared" si="21"/>
        <v>315000</v>
      </c>
      <c r="O76" s="62"/>
    </row>
    <row r="77" spans="3:15">
      <c r="C77" s="172"/>
      <c r="D77" s="141" t="s">
        <v>134</v>
      </c>
      <c r="E77" s="142" t="s">
        <v>67</v>
      </c>
      <c r="F77" s="143">
        <f>70000*90%</f>
        <v>63000</v>
      </c>
      <c r="G77" s="197">
        <v>40</v>
      </c>
      <c r="H77" s="201">
        <f t="shared" ref="H77:H82" si="22">+G77*F77</f>
        <v>2520000</v>
      </c>
      <c r="I77" s="201">
        <v>40</v>
      </c>
      <c r="J77" s="201">
        <f t="shared" si="21"/>
        <v>2520000</v>
      </c>
      <c r="O77" s="62"/>
    </row>
    <row r="78" spans="3:15">
      <c r="C78" s="172"/>
      <c r="D78" s="206" t="s">
        <v>135</v>
      </c>
      <c r="E78" s="142" t="s">
        <v>67</v>
      </c>
      <c r="F78" s="143">
        <f>110000*0.9</f>
        <v>99000</v>
      </c>
      <c r="G78" s="197">
        <v>2</v>
      </c>
      <c r="H78" s="201">
        <f t="shared" si="22"/>
        <v>198000</v>
      </c>
      <c r="I78" s="201">
        <v>2</v>
      </c>
      <c r="J78" s="201">
        <f t="shared" si="21"/>
        <v>198000</v>
      </c>
      <c r="O78" s="62"/>
    </row>
    <row r="79" spans="3:15">
      <c r="C79" s="172"/>
      <c r="D79" s="206" t="s">
        <v>136</v>
      </c>
      <c r="E79" s="142" t="s">
        <v>67</v>
      </c>
      <c r="F79" s="143">
        <f>455000*0.9</f>
        <v>409500</v>
      </c>
      <c r="G79" s="197">
        <v>2</v>
      </c>
      <c r="H79" s="201">
        <f t="shared" si="22"/>
        <v>819000</v>
      </c>
      <c r="I79" s="201">
        <v>2</v>
      </c>
      <c r="J79" s="201">
        <f t="shared" si="21"/>
        <v>819000</v>
      </c>
      <c r="O79" s="62"/>
    </row>
    <row r="80" spans="3:15">
      <c r="C80" s="172"/>
      <c r="D80" s="206" t="s">
        <v>137</v>
      </c>
      <c r="E80" s="142" t="s">
        <v>67</v>
      </c>
      <c r="F80" s="143">
        <f>510000*0.9</f>
        <v>459000</v>
      </c>
      <c r="G80" s="197">
        <v>2</v>
      </c>
      <c r="H80" s="201">
        <f t="shared" si="22"/>
        <v>918000</v>
      </c>
      <c r="I80" s="201">
        <v>2</v>
      </c>
      <c r="J80" s="201">
        <f t="shared" si="21"/>
        <v>918000</v>
      </c>
      <c r="O80" s="62"/>
    </row>
    <row r="81" spans="3:15">
      <c r="C81" s="172"/>
      <c r="D81" s="206" t="s">
        <v>138</v>
      </c>
      <c r="E81" s="142" t="s">
        <v>67</v>
      </c>
      <c r="F81" s="143">
        <f>(140000+20000)*0.9</f>
        <v>144000</v>
      </c>
      <c r="G81" s="197">
        <v>2</v>
      </c>
      <c r="H81" s="201">
        <f t="shared" si="22"/>
        <v>288000</v>
      </c>
      <c r="I81" s="201">
        <v>2</v>
      </c>
      <c r="J81" s="201">
        <f t="shared" si="21"/>
        <v>288000</v>
      </c>
      <c r="O81" s="62"/>
    </row>
    <row r="82" spans="3:15">
      <c r="C82" s="172"/>
      <c r="D82" s="141" t="s">
        <v>139</v>
      </c>
      <c r="E82" s="142" t="s">
        <v>67</v>
      </c>
      <c r="F82" s="143">
        <f>95000*0.9</f>
        <v>85500</v>
      </c>
      <c r="G82" s="197">
        <v>5</v>
      </c>
      <c r="H82" s="201">
        <f t="shared" si="22"/>
        <v>427500</v>
      </c>
      <c r="I82" s="201">
        <v>5</v>
      </c>
      <c r="J82" s="201">
        <f t="shared" si="21"/>
        <v>427500</v>
      </c>
      <c r="K82" s="37">
        <f>+H59*2%</f>
        <v>1223031.0568000001</v>
      </c>
      <c r="O82" s="62"/>
    </row>
    <row r="83" spans="3:15">
      <c r="C83" s="172"/>
      <c r="D83" s="141"/>
      <c r="E83" s="142"/>
      <c r="F83" s="143"/>
      <c r="G83" s="197"/>
      <c r="H83" s="201"/>
      <c r="I83" s="201"/>
      <c r="J83" s="201"/>
      <c r="K83" s="37">
        <f>+H59-K82</f>
        <v>59928521.783200003</v>
      </c>
      <c r="O83" s="62"/>
    </row>
    <row r="84" spans="3:15">
      <c r="C84" s="167" t="s">
        <v>94</v>
      </c>
      <c r="D84" s="186" t="s">
        <v>112</v>
      </c>
      <c r="E84" s="172"/>
      <c r="F84" s="187"/>
      <c r="G84" s="202"/>
      <c r="H84" s="202">
        <f>SUM(H64:H82)</f>
        <v>34587900</v>
      </c>
      <c r="I84" s="202"/>
      <c r="J84" s="202">
        <f>SUM(J64:J82)</f>
        <v>67533750</v>
      </c>
      <c r="K84" s="37">
        <f>+K83+H87</f>
        <v>95166421.783199996</v>
      </c>
      <c r="O84" s="62"/>
    </row>
    <row r="85" spans="3:15">
      <c r="C85" s="172"/>
      <c r="D85" s="141" t="s">
        <v>115</v>
      </c>
      <c r="E85" s="142" t="s">
        <v>57</v>
      </c>
      <c r="F85" s="143">
        <v>2500000</v>
      </c>
      <c r="G85" s="197"/>
      <c r="H85" s="197">
        <f>+G85*F85</f>
        <v>0</v>
      </c>
      <c r="I85" s="197">
        <v>3</v>
      </c>
      <c r="J85" s="197">
        <f>+I85*F85</f>
        <v>7500000</v>
      </c>
      <c r="O85" s="62"/>
    </row>
    <row r="86" spans="3:15">
      <c r="C86" s="167" t="s">
        <v>95</v>
      </c>
      <c r="D86" s="147" t="s">
        <v>122</v>
      </c>
      <c r="E86" s="142"/>
      <c r="F86" s="143"/>
      <c r="G86" s="197"/>
      <c r="H86" s="202">
        <f>+H85</f>
        <v>0</v>
      </c>
      <c r="I86" s="202"/>
      <c r="J86" s="202">
        <f>+J85</f>
        <v>7500000</v>
      </c>
      <c r="K86" s="37">
        <f>+K84*0.1</f>
        <v>9516642.1783199999</v>
      </c>
      <c r="O86" s="62"/>
    </row>
    <row r="87" spans="3:15">
      <c r="C87" s="167" t="s">
        <v>96</v>
      </c>
      <c r="D87" s="182" t="s">
        <v>31</v>
      </c>
      <c r="E87" s="167"/>
      <c r="F87" s="171"/>
      <c r="G87" s="196"/>
      <c r="H87" s="196">
        <f>+H84+H63+H86</f>
        <v>35237900</v>
      </c>
      <c r="I87" s="196"/>
      <c r="J87" s="196">
        <f>+J84+J63+J86</f>
        <v>81374286</v>
      </c>
      <c r="K87" s="37">
        <f>+K85+K84+K86</f>
        <v>104683063.96152</v>
      </c>
      <c r="O87" s="62"/>
    </row>
    <row r="88" spans="3:15">
      <c r="C88" s="172"/>
      <c r="D88" s="188" t="s">
        <v>29</v>
      </c>
      <c r="E88" s="172"/>
      <c r="F88" s="187"/>
      <c r="G88" s="202"/>
      <c r="H88" s="197">
        <v>0</v>
      </c>
      <c r="I88" s="194"/>
      <c r="J88" s="197">
        <v>0</v>
      </c>
      <c r="K88" s="122"/>
      <c r="L88" s="39"/>
      <c r="O88" s="63"/>
    </row>
    <row r="89" spans="3:15">
      <c r="C89" s="167" t="s">
        <v>113</v>
      </c>
      <c r="D89" s="182" t="s">
        <v>32</v>
      </c>
      <c r="E89" s="167"/>
      <c r="F89" s="171"/>
      <c r="G89" s="196"/>
      <c r="H89" s="196">
        <f>H59+H87</f>
        <v>96389452.840000004</v>
      </c>
      <c r="I89" s="200"/>
      <c r="J89" s="196">
        <f>J59+J87</f>
        <v>275486888.84000003</v>
      </c>
      <c r="O89" s="63"/>
    </row>
    <row r="90" spans="3:15">
      <c r="C90" s="167" t="s">
        <v>140</v>
      </c>
      <c r="D90" s="182" t="s">
        <v>3</v>
      </c>
      <c r="E90" s="167"/>
      <c r="F90" s="171"/>
      <c r="G90" s="196"/>
      <c r="H90" s="196">
        <f>+H88*0.1+H89*0.1</f>
        <v>9638945.284</v>
      </c>
      <c r="I90" s="200"/>
      <c r="J90" s="196">
        <f>+J88*0.1+J89*0.1</f>
        <v>27548688.884000003</v>
      </c>
      <c r="O90" s="61"/>
    </row>
    <row r="91" spans="3:15">
      <c r="C91" s="167" t="s">
        <v>141</v>
      </c>
      <c r="D91" s="182" t="s">
        <v>59</v>
      </c>
      <c r="E91" s="167"/>
      <c r="F91" s="171"/>
      <c r="G91" s="196"/>
      <c r="H91" s="196">
        <f>SUM(H88:H90)</f>
        <v>106028398.124</v>
      </c>
      <c r="I91" s="200"/>
      <c r="J91" s="196">
        <f>SUM(J88:J90)</f>
        <v>303035577.72400004</v>
      </c>
      <c r="O91" s="60"/>
    </row>
    <row r="92" spans="3:15">
      <c r="D92" s="4"/>
      <c r="O92" s="61"/>
    </row>
    <row r="93" spans="3:15">
      <c r="D93" s="4" t="s">
        <v>34</v>
      </c>
      <c r="H93" s="236"/>
      <c r="I93" s="236"/>
    </row>
    <row r="94" spans="3:15">
      <c r="D94" s="139" t="s">
        <v>35</v>
      </c>
      <c r="G94" s="203" t="s">
        <v>36</v>
      </c>
      <c r="H94" s="204"/>
    </row>
    <row r="95" spans="3:15">
      <c r="D95" s="139"/>
      <c r="H95" s="203"/>
    </row>
    <row r="96" spans="3:15">
      <c r="D96" s="139" t="s">
        <v>51</v>
      </c>
      <c r="G96" s="203" t="s">
        <v>52</v>
      </c>
      <c r="H96" s="204"/>
    </row>
    <row r="97" spans="4:8">
      <c r="D97" s="139"/>
      <c r="G97" s="203"/>
      <c r="H97" s="203"/>
    </row>
    <row r="98" spans="4:8">
      <c r="D98" s="75" t="s">
        <v>40</v>
      </c>
      <c r="G98" s="203" t="s">
        <v>38</v>
      </c>
      <c r="H98" s="203"/>
    </row>
    <row r="99" spans="4:8">
      <c r="D99" s="4" t="s">
        <v>41</v>
      </c>
      <c r="H99" s="203"/>
    </row>
    <row r="101" spans="4:8">
      <c r="D101" s="7" t="s">
        <v>42</v>
      </c>
      <c r="G101" s="203" t="s">
        <v>43</v>
      </c>
    </row>
    <row r="103" spans="4:8">
      <c r="D103" s="4" t="s">
        <v>44</v>
      </c>
    </row>
    <row r="104" spans="4:8">
      <c r="D104" s="7" t="s">
        <v>45</v>
      </c>
      <c r="G104" s="203" t="s">
        <v>47</v>
      </c>
    </row>
    <row r="105" spans="4:8">
      <c r="G105" s="203"/>
    </row>
    <row r="106" spans="4:8">
      <c r="D106" s="7" t="s">
        <v>46</v>
      </c>
      <c r="G106" s="3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93:I93"/>
    <mergeCell ref="C12:J12"/>
    <mergeCell ref="C13:C14"/>
    <mergeCell ref="D13:D14"/>
    <mergeCell ref="E13:E14"/>
    <mergeCell ref="F13:F14"/>
    <mergeCell ref="G13:H13"/>
    <mergeCell ref="I13:J13"/>
  </mergeCells>
  <pageMargins left="0.70866141732283472" right="0.70866141732283472" top="0.55118110236220474" bottom="0.55118110236220474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2024.01</vt:lpstr>
      <vt:lpstr>2024.02</vt:lpstr>
      <vt:lpstr>2024.03</vt:lpstr>
      <vt:lpstr>2024.04</vt:lpstr>
      <vt:lpstr>2024.05</vt:lpstr>
      <vt:lpstr>2024.06</vt:lpstr>
      <vt:lpstr>2024.07</vt:lpstr>
      <vt:lpstr>2024.08</vt:lpstr>
      <vt:lpstr>2024.09</vt:lpstr>
      <vt:lpstr>2024.10</vt:lpstr>
      <vt:lpstr>2024.11-2024.12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2024-11-20T05:02:04Z</cp:lastPrinted>
  <dcterms:created xsi:type="dcterms:W3CDTF">2014-01-15T06:30:10Z</dcterms:created>
  <dcterms:modified xsi:type="dcterms:W3CDTF">2024-11-20T05:02:18Z</dcterms:modified>
</cp:coreProperties>
</file>