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Басис ХХК\2024 он\гүйцэтгэл 2024 он\"/>
    </mc:Choice>
  </mc:AlternateContent>
  <xr:revisionPtr revIDLastSave="0" documentId="13_ncr:1_{F4980B25-2761-42BE-A8CD-B7C0E4475414}" xr6:coauthVersionLast="45" xr6:coauthVersionMax="45" xr10:uidLastSave="{00000000-0000-0000-0000-000000000000}"/>
  <bookViews>
    <workbookView xWindow="-108" yWindow="-108" windowWidth="23256" windowHeight="12456" xr2:uid="{D50F0064-A6A8-441B-A589-37BFBF917EF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2" i="1" l="1"/>
  <c r="H92" i="1"/>
  <c r="J96" i="1"/>
  <c r="H96" i="1"/>
  <c r="I95" i="1"/>
  <c r="F95" i="1"/>
  <c r="J95" i="1" s="1"/>
  <c r="I94" i="1"/>
  <c r="F94" i="1"/>
  <c r="H94" i="1" s="1"/>
  <c r="J93" i="1"/>
  <c r="H93" i="1"/>
  <c r="J91" i="1"/>
  <c r="H91" i="1"/>
  <c r="I90" i="1"/>
  <c r="J90" i="1" s="1"/>
  <c r="H90" i="1"/>
  <c r="I89" i="1"/>
  <c r="J89" i="1" s="1"/>
  <c r="H89" i="1"/>
  <c r="J88" i="1"/>
  <c r="I88" i="1"/>
  <c r="H88" i="1"/>
  <c r="F87" i="1"/>
  <c r="J87" i="1" s="1"/>
  <c r="F86" i="1"/>
  <c r="J86" i="1" s="1"/>
  <c r="F85" i="1"/>
  <c r="J85" i="1" s="1"/>
  <c r="F84" i="1"/>
  <c r="J84" i="1" s="1"/>
  <c r="J83" i="1"/>
  <c r="F83" i="1"/>
  <c r="H83" i="1" s="1"/>
  <c r="F82" i="1"/>
  <c r="J82" i="1" s="1"/>
  <c r="J81" i="1"/>
  <c r="H81" i="1"/>
  <c r="F80" i="1"/>
  <c r="J80" i="1" s="1"/>
  <c r="F79" i="1"/>
  <c r="J79" i="1" s="1"/>
  <c r="F78" i="1"/>
  <c r="J78" i="1" s="1"/>
  <c r="F77" i="1"/>
  <c r="J77" i="1" s="1"/>
  <c r="F76" i="1"/>
  <c r="H76" i="1" s="1"/>
  <c r="J75" i="1"/>
  <c r="H75" i="1"/>
  <c r="F74" i="1"/>
  <c r="J74" i="1" s="1"/>
  <c r="F73" i="1"/>
  <c r="J73" i="1" s="1"/>
  <c r="J72" i="1"/>
  <c r="H72" i="1"/>
  <c r="F71" i="1"/>
  <c r="J71" i="1" s="1"/>
  <c r="F70" i="1"/>
  <c r="J70" i="1" s="1"/>
  <c r="F69" i="1"/>
  <c r="J69" i="1" s="1"/>
  <c r="F68" i="1"/>
  <c r="J68" i="1" s="1"/>
  <c r="F67" i="1"/>
  <c r="J67" i="1" s="1"/>
  <c r="J66" i="1"/>
  <c r="H66" i="1"/>
  <c r="F65" i="1"/>
  <c r="J65" i="1" s="1"/>
  <c r="J63" i="1"/>
  <c r="H63" i="1"/>
  <c r="J62" i="1"/>
  <c r="H62" i="1"/>
  <c r="J61" i="1"/>
  <c r="H61" i="1"/>
  <c r="J60" i="1"/>
  <c r="J57" i="1"/>
  <c r="H57" i="1"/>
  <c r="J56" i="1"/>
  <c r="H56" i="1"/>
  <c r="J55" i="1"/>
  <c r="H55" i="1"/>
  <c r="J54" i="1"/>
  <c r="H54" i="1"/>
  <c r="J52" i="1"/>
  <c r="H52" i="1"/>
  <c r="J51" i="1"/>
  <c r="H51" i="1"/>
  <c r="J50" i="1"/>
  <c r="H50" i="1"/>
  <c r="J49" i="1"/>
  <c r="H49" i="1"/>
  <c r="J47" i="1"/>
  <c r="H47" i="1"/>
  <c r="J46" i="1"/>
  <c r="H46" i="1"/>
  <c r="J45" i="1"/>
  <c r="H45" i="1"/>
  <c r="J44" i="1"/>
  <c r="H44" i="1"/>
  <c r="J41" i="1"/>
  <c r="H41" i="1"/>
  <c r="J40" i="1"/>
  <c r="H40" i="1"/>
  <c r="J39" i="1"/>
  <c r="H39" i="1"/>
  <c r="J38" i="1"/>
  <c r="H38" i="1"/>
  <c r="J37" i="1"/>
  <c r="H37" i="1"/>
  <c r="J36" i="1"/>
  <c r="H36" i="1"/>
  <c r="J35" i="1"/>
  <c r="H35" i="1"/>
  <c r="J34" i="1"/>
  <c r="H34" i="1"/>
  <c r="J33" i="1"/>
  <c r="H33" i="1"/>
  <c r="J32" i="1"/>
  <c r="H32" i="1"/>
  <c r="J31" i="1"/>
  <c r="H31" i="1"/>
  <c r="J30" i="1"/>
  <c r="H30" i="1"/>
  <c r="J29" i="1"/>
  <c r="H29" i="1"/>
  <c r="J28" i="1"/>
  <c r="H28" i="1"/>
  <c r="J27" i="1"/>
  <c r="H27" i="1"/>
  <c r="J25" i="1"/>
  <c r="H25" i="1"/>
  <c r="J24" i="1"/>
  <c r="H24" i="1"/>
  <c r="J23" i="1"/>
  <c r="H23" i="1"/>
  <c r="J22" i="1"/>
  <c r="H22" i="1"/>
  <c r="J20" i="1"/>
  <c r="H20" i="1"/>
  <c r="J19" i="1"/>
  <c r="H19" i="1"/>
  <c r="H21" i="1" s="1"/>
  <c r="J18" i="1"/>
  <c r="J21" i="1" s="1"/>
  <c r="H18" i="1"/>
  <c r="J16" i="1"/>
  <c r="J17" i="1" s="1"/>
  <c r="H16" i="1"/>
  <c r="H17" i="1" s="1"/>
  <c r="H69" i="1" l="1"/>
  <c r="J94" i="1"/>
  <c r="H87" i="1"/>
  <c r="J76" i="1"/>
  <c r="H73" i="1"/>
  <c r="H86" i="1"/>
  <c r="H48" i="1"/>
  <c r="H58" i="1"/>
  <c r="J64" i="1"/>
  <c r="H70" i="1"/>
  <c r="H78" i="1"/>
  <c r="J48" i="1"/>
  <c r="J53" i="1"/>
  <c r="J58" i="1"/>
  <c r="H64" i="1"/>
  <c r="H95" i="1"/>
  <c r="H42" i="1"/>
  <c r="H43" i="1" s="1"/>
  <c r="H59" i="1" s="1"/>
  <c r="J42" i="1"/>
  <c r="H26" i="1"/>
  <c r="J26" i="1"/>
  <c r="H80" i="1"/>
  <c r="H53" i="1"/>
  <c r="H97" i="1"/>
  <c r="J97" i="1"/>
  <c r="H67" i="1"/>
  <c r="H84" i="1"/>
  <c r="H79" i="1"/>
  <c r="H82" i="1"/>
  <c r="H65" i="1"/>
  <c r="H85" i="1"/>
  <c r="H68" i="1"/>
  <c r="H71" i="1"/>
  <c r="H74" i="1"/>
  <c r="H77" i="1"/>
  <c r="J43" i="1" l="1"/>
  <c r="J59" i="1" s="1"/>
  <c r="H98" i="1"/>
  <c r="H100" i="1" s="1"/>
  <c r="J98" i="1"/>
  <c r="J100" i="1" l="1"/>
  <c r="J101" i="1" s="1"/>
  <c r="J102" i="1" s="1"/>
  <c r="H101" i="1"/>
  <c r="H102" i="1" s="1"/>
</calcChain>
</file>

<file path=xl/sharedStrings.xml><?xml version="1.0" encoding="utf-8"?>
<sst xmlns="http://schemas.openxmlformats.org/spreadsheetml/2006/main" count="206" uniqueCount="145">
  <si>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</si>
  <si>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</si>
  <si>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</si>
  <si>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УЛСЫН ТӨСВИЙН ХӨРӨНГӨӨР ХЭРЭГЖҮҮЛЖ БАЙГАА "ҮҮРЭГ НУУР-50 "ТӨСЛИЙН</t>
  </si>
  <si>
    <t>АЖЛЫН ГҮЙЦЭТГЭЛИЙН АКТ</t>
  </si>
  <si>
    <t>БАСИС ХХК</t>
  </si>
  <si>
    <t>2024 оны 11 дугаар сарын 1-нээс 12 дугаар сарын 31-ний өдөр хүртэл</t>
  </si>
  <si>
    <t>Төсвийн дүн: 1,132,976,436 /төгрөгөөр/</t>
  </si>
  <si>
    <t>Д/Д</t>
  </si>
  <si>
    <t>Ажлын нэр, төрөл</t>
  </si>
  <si>
    <t>Хэмжих нэгж</t>
  </si>
  <si>
    <t>Нэгжийн өртөг</t>
  </si>
  <si>
    <t>Тайлант сарын гүйцэтгэл</t>
  </si>
  <si>
    <t>Оны эхнээс гарсан гүйцэтгэл</t>
  </si>
  <si>
    <t>Тоо</t>
  </si>
  <si>
    <t>Дүн</t>
  </si>
  <si>
    <t>Төсөл, төсөв зохиолт</t>
  </si>
  <si>
    <t>хүн/ө</t>
  </si>
  <si>
    <t>I</t>
  </si>
  <si>
    <t>БЭЛТГЭЛ АЖЛЫН ДҮН</t>
  </si>
  <si>
    <t>Шалган холбох маршрут</t>
  </si>
  <si>
    <t>т.км</t>
  </si>
  <si>
    <t>Литогеохими /тор/</t>
  </si>
  <si>
    <t>сорьц</t>
  </si>
  <si>
    <t>Эрлийн маршрут</t>
  </si>
  <si>
    <t>II</t>
  </si>
  <si>
    <t>МАРШРУТ, ТАЛБАЙН СОРЬЦЛОЛТЫН ДҮН</t>
  </si>
  <si>
    <t>Суваг малталт -гар аргаар</t>
  </si>
  <si>
    <t>куб.м</t>
  </si>
  <si>
    <t>Шурф малталт 2.5-4.0м гүнтэй</t>
  </si>
  <si>
    <t>т.м</t>
  </si>
  <si>
    <t>Цэвэрлэгээ</t>
  </si>
  <si>
    <t>Булалт</t>
  </si>
  <si>
    <t>III</t>
  </si>
  <si>
    <t>УУЛЫН АЖЛЫН ДҮН</t>
  </si>
  <si>
    <t>Силикатын дээж</t>
  </si>
  <si>
    <t>Протолочек авах</t>
  </si>
  <si>
    <t>Ховилон</t>
  </si>
  <si>
    <t>Ховилон /нүүрс/</t>
  </si>
  <si>
    <t>Литогеохими /суваг/</t>
  </si>
  <si>
    <t>Цэглэн</t>
  </si>
  <si>
    <t>Литогеохими /зураглал, эрэл/</t>
  </si>
  <si>
    <t>Шурфын дээжийн угаалга</t>
  </si>
  <si>
    <t>Гидрохимийн дээжлэлт</t>
  </si>
  <si>
    <t>ХБАМ, элс</t>
  </si>
  <si>
    <t>Үнэмлэхүй нас</t>
  </si>
  <si>
    <t xml:space="preserve">ХБАМ, хайрга </t>
  </si>
  <si>
    <t>ХБАМ, шавар</t>
  </si>
  <si>
    <t>ХБАМ, өнгөлгөөний чулуу</t>
  </si>
  <si>
    <t>Бусад сорьцлолт (Үр тоос, палеонтологи)</t>
  </si>
  <si>
    <t>IV</t>
  </si>
  <si>
    <t>СОРЬЦЛОЛТЫН ДҮН</t>
  </si>
  <si>
    <t>V</t>
  </si>
  <si>
    <t>ХЭЭРИЙН АЖЛЫН ДҮН</t>
  </si>
  <si>
    <t>Эрлийн соронзон хайгуул</t>
  </si>
  <si>
    <t>АТ-поль-диполь</t>
  </si>
  <si>
    <t>Албадмал туйлшрал-ДГ</t>
  </si>
  <si>
    <t>Геофизикийн тээвэр</t>
  </si>
  <si>
    <t>VI</t>
  </si>
  <si>
    <t>ГЕОФИЗИКИЙН ДҮН</t>
  </si>
  <si>
    <t xml:space="preserve">Анги зохион байгуулалт </t>
  </si>
  <si>
    <t>%</t>
  </si>
  <si>
    <t xml:space="preserve">Анги татан буулгалт </t>
  </si>
  <si>
    <t>Хээрийн хангамж /томилолт/</t>
  </si>
  <si>
    <t>Суурин боловсруулалт</t>
  </si>
  <si>
    <t>х.ө</t>
  </si>
  <si>
    <t>VII</t>
  </si>
  <si>
    <t>Тээвэр:               Хүн тээвэр /УАЗ-фургон/</t>
  </si>
  <si>
    <t xml:space="preserve">                  Үйлвэрийн тээвэр /УАЗ-фургон/</t>
  </si>
  <si>
    <t xml:space="preserve">                   Ачаа тээвэр /УАЗ-фургон/</t>
  </si>
  <si>
    <t xml:space="preserve">                  Ачаа тээвэр /Mitsubishi Canter/</t>
  </si>
  <si>
    <t>VIII</t>
  </si>
  <si>
    <t>ТЭЭВРИЙН ДҮН</t>
  </si>
  <si>
    <t>IX</t>
  </si>
  <si>
    <t xml:space="preserve">ӨӨРИЙН ХҮЧНИЙ АЖЛЫН ДҮН </t>
  </si>
  <si>
    <t xml:space="preserve">Автомашины татвар хураамж: УАЗ-фургон </t>
  </si>
  <si>
    <t>ш</t>
  </si>
  <si>
    <t>.</t>
  </si>
  <si>
    <t>Mitsubishi Canter</t>
  </si>
  <si>
    <t>ГМТөвд тайлан үзэх</t>
  </si>
  <si>
    <t>Оффис түрээс</t>
  </si>
  <si>
    <t>сар</t>
  </si>
  <si>
    <t>X</t>
  </si>
  <si>
    <t>ДҮН</t>
  </si>
  <si>
    <t>Протолочекын бүрэн шинжилгээ</t>
  </si>
  <si>
    <t>Эрдсийн хураангуй шинжилгээ</t>
  </si>
  <si>
    <t>Петрографын хураангуй</t>
  </si>
  <si>
    <t>Шлиф бэлтгэл</t>
  </si>
  <si>
    <t>шл</t>
  </si>
  <si>
    <t>Минерграфийн бич.хураангуй</t>
  </si>
  <si>
    <t>Аншлиф бэлтгэл</t>
  </si>
  <si>
    <t>Анш</t>
  </si>
  <si>
    <t>Модаль шинжилгээ</t>
  </si>
  <si>
    <t>Фото зураг авах</t>
  </si>
  <si>
    <t>ICP 30 элемент</t>
  </si>
  <si>
    <t>ICP 40 элемент</t>
  </si>
  <si>
    <t>Алтны ААС</t>
  </si>
  <si>
    <t>Силикатын бүрэн шинжилгээ</t>
  </si>
  <si>
    <t>Буталгаа, ховилон (1-10кг-0.074мм)</t>
  </si>
  <si>
    <t>Буталгаа, протолочек (20кг)</t>
  </si>
  <si>
    <t>Буталгаа, силикат-цэглэн (2кг хүртэл-0.074мм)</t>
  </si>
  <si>
    <t>Буталгаа, геохими (0.5кг хүртэл-0.074мм)</t>
  </si>
  <si>
    <t>Үнэмлэхүй насны дээжийн боловсруулалт /20кг/</t>
  </si>
  <si>
    <t>Усны бүрэн шинжилгээ</t>
  </si>
  <si>
    <t>Элсний бүрэн шинжилгээ</t>
  </si>
  <si>
    <t>Хайрганы шинжилгээ (сонголтоор)</t>
  </si>
  <si>
    <t>Шаврын бүрэн шинжилгээ (сонголтоор)</t>
  </si>
  <si>
    <t>Өнгөлгөөний чулуу /хураангуй/</t>
  </si>
  <si>
    <t>Нүүрсний чанарын шинжилгээ (сонголтоор)</t>
  </si>
  <si>
    <t>Шаврын хөөлт</t>
  </si>
  <si>
    <t>Чанарын шинжилгээ /XRD/</t>
  </si>
  <si>
    <t>ГХЭ-ийн (16 элемент) шинжилгээ</t>
  </si>
  <si>
    <t>Хөрсний шинжилгээ (ICP20+Hg)</t>
  </si>
  <si>
    <t>XI</t>
  </si>
  <si>
    <t>Лабораторийн ажлын дүн</t>
  </si>
  <si>
    <t>Палентологийн шинжилгээ (макро)</t>
  </si>
  <si>
    <t>зүйл</t>
  </si>
  <si>
    <t>Гадаад хяналт, Петрографи</t>
  </si>
  <si>
    <t xml:space="preserve">Гадаад хяналт,  Минералоги </t>
  </si>
  <si>
    <t>XII</t>
  </si>
  <si>
    <t xml:space="preserve">Бусад лабораторийн дүн </t>
  </si>
  <si>
    <t>XIII</t>
  </si>
  <si>
    <t>ГАДНЫ БАЙГУУЛЛАГЫН ДҮН</t>
  </si>
  <si>
    <t>магадлашгүй ажил</t>
  </si>
  <si>
    <t>XIV</t>
  </si>
  <si>
    <t xml:space="preserve">НИЙТ АЖЛЫН ЦЭВЭР ДҮН </t>
  </si>
  <si>
    <t>XV</t>
  </si>
  <si>
    <t>НӨАТ-10 %</t>
  </si>
  <si>
    <t>XVI</t>
  </si>
  <si>
    <t>НИЙТ АЖЛЫН ДҮН</t>
  </si>
  <si>
    <t>Гүйцэтгэгч:</t>
  </si>
  <si>
    <t>Захирал</t>
  </si>
  <si>
    <t>Д.Отгонбаатар</t>
  </si>
  <si>
    <t>Төслийн ахлагч</t>
  </si>
  <si>
    <t>Г.Мөнхзул</t>
  </si>
  <si>
    <t>Эдийн засагч</t>
  </si>
  <si>
    <t>С.Ариунсанаа</t>
  </si>
  <si>
    <t>Танилцсан:</t>
  </si>
  <si>
    <t>Үндэсний геологийн албаны  дарга</t>
  </si>
  <si>
    <t>/Б.Мөнхтөр/</t>
  </si>
  <si>
    <t>Хянасан:</t>
  </si>
  <si>
    <t>Үндэсний геологийн албаны ГСХ-ийн мэргэжилтэн</t>
  </si>
  <si>
    <t>/Х.Ганхуяг /</t>
  </si>
  <si>
    <t>Үндэсний геологийн албаны УТСГ хариуцсан мэргэжилтэн</t>
  </si>
  <si>
    <t>/Т.Цэрэндулам/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</si>
</sst>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_(* #,##0_);_(* \(#,##0\);_(* &quot;-&quot;??_);_(@_)"/>
    <numFmt numFmtId="166" formatCode="_(* #,##0.0_);_(* \(#,##0.0\);_(* &quot;-&quot;??_);_(@_)"/>
  </numFmts>
  <fonts count="1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right"/>
    </xf>
    <xf numFmtId="43" fontId="0" fillId="0" borderId="0" xfId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right"/>
    </xf>
    <xf numFmtId="43" fontId="0" fillId="0" borderId="0" xfId="1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vertical="center" wrapText="1"/>
    </xf>
    <xf numFmtId="43" fontId="4" fillId="0" borderId="1" xfId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vertical="center" wrapText="1"/>
    </xf>
    <xf numFmtId="43" fontId="4" fillId="0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3" fontId="5" fillId="0" borderId="1" xfId="1" applyFont="1" applyFill="1" applyBorder="1" applyAlignment="1">
      <alignment vertical="center" wrapText="1"/>
    </xf>
    <xf numFmtId="43" fontId="5" fillId="0" borderId="1" xfId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left" vertical="center" wrapText="1"/>
    </xf>
    <xf numFmtId="43" fontId="6" fillId="2" borderId="1" xfId="1" applyFont="1" applyFill="1" applyBorder="1" applyAlignment="1">
      <alignment horizontal="left" vertical="center" wrapText="1"/>
    </xf>
    <xf numFmtId="43" fontId="5" fillId="2" borderId="1" xfId="1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66" fontId="4" fillId="0" borderId="1" xfId="1" applyNumberFormat="1" applyFont="1" applyBorder="1" applyAlignment="1">
      <alignment horizontal="center" vertical="center" wrapText="1"/>
    </xf>
    <xf numFmtId="43" fontId="4" fillId="0" borderId="1" xfId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66" fontId="4" fillId="0" borderId="1" xfId="1" applyNumberFormat="1" applyFont="1" applyBorder="1" applyAlignment="1">
      <alignment horizontal="right" vertical="center"/>
    </xf>
    <xf numFmtId="0" fontId="3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166" fontId="3" fillId="3" borderId="1" xfId="1" applyNumberFormat="1" applyFont="1" applyFill="1" applyBorder="1" applyAlignment="1">
      <alignment horizontal="right" vertical="center"/>
    </xf>
    <xf numFmtId="43" fontId="3" fillId="3" borderId="1" xfId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43" fontId="4" fillId="0" borderId="1" xfId="1" applyFont="1" applyFill="1" applyBorder="1" applyAlignment="1">
      <alignment horizontal="right" vertical="center"/>
    </xf>
    <xf numFmtId="165" fontId="4" fillId="0" borderId="1" xfId="1" applyNumberFormat="1" applyFont="1" applyFill="1" applyBorder="1" applyAlignment="1">
      <alignment horizontal="right" vertical="center"/>
    </xf>
    <xf numFmtId="43" fontId="0" fillId="0" borderId="0" xfId="0" applyNumberFormat="1"/>
    <xf numFmtId="43" fontId="4" fillId="2" borderId="1" xfId="1" applyFont="1" applyFill="1" applyBorder="1" applyAlignment="1">
      <alignment horizontal="right" vertical="center"/>
    </xf>
    <xf numFmtId="43" fontId="3" fillId="2" borderId="1" xfId="1" applyFont="1" applyFill="1" applyBorder="1" applyAlignment="1">
      <alignment horizontal="right" vertical="center"/>
    </xf>
    <xf numFmtId="165" fontId="3" fillId="2" borderId="1" xfId="1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66" fontId="3" fillId="2" borderId="1" xfId="1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3" fontId="0" fillId="0" borderId="0" xfId="0" applyNumberFormat="1"/>
    <xf numFmtId="0" fontId="5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166" fontId="9" fillId="0" borderId="1" xfId="1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horizontal="right" vertical="center"/>
    </xf>
    <xf numFmtId="43" fontId="3" fillId="3" borderId="1" xfId="1" applyFont="1" applyFill="1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43" fontId="9" fillId="0" borderId="4" xfId="1" applyFont="1" applyFill="1" applyBorder="1" applyAlignment="1">
      <alignment horizontal="right" vertical="center"/>
    </xf>
    <xf numFmtId="3" fontId="0" fillId="0" borderId="0" xfId="0" applyNumberForma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165" fontId="11" fillId="0" borderId="1" xfId="1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43" fontId="3" fillId="0" borderId="1" xfId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165" fontId="0" fillId="0" borderId="0" xfId="1" applyNumberFormat="1" applyFont="1"/>
    <xf numFmtId="0" fontId="6" fillId="0" borderId="1" xfId="0" applyFont="1" applyBorder="1" applyAlignment="1">
      <alignment vertical="center" wrapText="1"/>
    </xf>
    <xf numFmtId="165" fontId="3" fillId="0" borderId="1" xfId="1" applyNumberFormat="1" applyFont="1" applyFill="1" applyBorder="1" applyAlignment="1">
      <alignment horizontal="right" vertical="center"/>
    </xf>
    <xf numFmtId="165" fontId="3" fillId="3" borderId="1" xfId="1" applyNumberFormat="1" applyFont="1" applyFill="1" applyBorder="1" applyAlignment="1">
      <alignment horizontal="right" vertical="center"/>
    </xf>
    <xf numFmtId="165" fontId="0" fillId="0" borderId="0" xfId="0" applyNumberFormat="1"/>
    <xf numFmtId="43" fontId="0" fillId="0" borderId="0" xfId="1" applyFont="1" applyFill="1"/>
    <xf numFmtId="0" fontId="0" fillId="0" borderId="0" xfId="0" applyAlignment="1">
      <alignment horizontal="center" vertical="center"/>
    </xf>
    <xf numFmtId="0" fontId="2" fillId="0" borderId="0" xfId="0" applyFont="1"/>
    <xf numFmtId="43" fontId="0" fillId="0" borderId="0" xfId="1" applyFont="1" applyAlignment="1">
      <alignment horizontal="left"/>
    </xf>
    <xf numFmtId="43" fontId="0" fillId="0" borderId="0" xfId="1" applyFont="1" applyAlignment="1">
      <alignment horizontal="left"/>
    </xf>
    <xf numFmtId="43" fontId="0" fillId="0" borderId="0" xfId="1" applyFont="1" applyAlignment="1"/>
    <xf numFmtId="0" fontId="0" fillId="0" borderId="0" xfId="0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262C8-1F58-4368-A3B6-CDCED135A134}">
  <dimension ref="C1:O117"/>
  <sheetViews>
    <sheetView tabSelected="1" topLeftCell="A85" workbookViewId="0">
      <selection activeCell="J105" sqref="J105"/>
    </sheetView>
  </sheetViews>
  <sheetFormatPr defaultColWidth="10" defaultRowHeight="14.4" x14ac:dyDescent="0.3"/>
  <cols>
    <col min="1" max="1" width="2.5546875" customWidth="1"/>
    <col min="2" max="2" width="3.77734375" customWidth="1"/>
    <col min="3" max="3" width="6.33203125" style="3" customWidth="1"/>
    <col min="4" max="4" width="48.109375" customWidth="1"/>
    <col min="5" max="5" width="12" customWidth="1"/>
    <col min="6" max="6" width="12.21875" customWidth="1"/>
    <col min="7" max="7" width="11.5546875" style="2" customWidth="1"/>
    <col min="8" max="8" width="15.44140625" style="2" customWidth="1"/>
    <col min="9" max="9" width="12.6640625" style="7" customWidth="1"/>
    <col min="10" max="10" width="17.109375" style="2" customWidth="1"/>
    <col min="11" max="11" width="16.88671875" style="2" customWidth="1"/>
    <col min="12" max="12" width="15.21875" bestFit="1" customWidth="1"/>
    <col min="13" max="13" width="13" customWidth="1"/>
    <col min="14" max="14" width="14" bestFit="1" customWidth="1"/>
    <col min="15" max="15" width="15.5546875" customWidth="1"/>
  </cols>
  <sheetData>
    <row r="1" spans="3:10" x14ac:dyDescent="0.3">
      <c r="C1" s="1" t="s">
        <v>0</v>
      </c>
      <c r="D1" s="1"/>
      <c r="E1" s="1"/>
      <c r="F1" s="1"/>
      <c r="G1" s="1"/>
      <c r="H1" s="1"/>
      <c r="I1" s="1"/>
      <c r="J1" s="1"/>
    </row>
    <row r="2" spans="3:10" x14ac:dyDescent="0.3">
      <c r="C2" s="1" t="s">
        <v>1</v>
      </c>
      <c r="D2" s="1"/>
      <c r="E2" s="1"/>
      <c r="F2" s="1"/>
      <c r="G2" s="1"/>
      <c r="H2" s="1"/>
      <c r="I2" s="1"/>
      <c r="J2" s="1"/>
    </row>
    <row r="3" spans="3:10" x14ac:dyDescent="0.3">
      <c r="C3" s="1" t="s">
        <v>2</v>
      </c>
      <c r="D3" s="1"/>
      <c r="E3" s="1"/>
      <c r="F3" s="1"/>
      <c r="G3" s="1"/>
      <c r="H3" s="1"/>
      <c r="I3" s="1"/>
      <c r="J3" s="1"/>
    </row>
    <row r="6" spans="3:10" x14ac:dyDescent="0.3">
      <c r="D6" s="4" t="s">
        <v>3</v>
      </c>
      <c r="E6" s="4"/>
      <c r="F6" s="4"/>
      <c r="G6" s="4"/>
      <c r="H6" s="4"/>
      <c r="I6" s="4"/>
      <c r="J6" s="4"/>
    </row>
    <row r="7" spans="3:10" x14ac:dyDescent="0.3">
      <c r="D7" s="4" t="s">
        <v>4</v>
      </c>
      <c r="E7" s="4"/>
      <c r="F7" s="4"/>
      <c r="G7" s="4"/>
      <c r="H7" s="4"/>
      <c r="I7" s="4"/>
      <c r="J7" s="4"/>
    </row>
    <row r="8" spans="3:10" x14ac:dyDescent="0.3">
      <c r="D8" s="5"/>
      <c r="E8" s="5"/>
      <c r="F8" s="5"/>
      <c r="H8" s="6" t="s">
        <v>5</v>
      </c>
    </row>
    <row r="9" spans="3:10" x14ac:dyDescent="0.3">
      <c r="D9" s="5"/>
      <c r="E9" s="5"/>
      <c r="F9" s="5"/>
      <c r="G9" s="6"/>
      <c r="H9" s="6"/>
    </row>
    <row r="10" spans="3:10" x14ac:dyDescent="0.3">
      <c r="C10" s="1" t="s">
        <v>6</v>
      </c>
      <c r="D10" s="1"/>
      <c r="E10" s="1"/>
      <c r="F10" s="1"/>
      <c r="G10" s="1"/>
      <c r="H10" s="1"/>
      <c r="I10" s="1"/>
      <c r="J10" s="1"/>
    </row>
    <row r="11" spans="3:10" x14ac:dyDescent="0.3">
      <c r="C11" s="8"/>
      <c r="D11" s="8"/>
      <c r="E11" s="8"/>
      <c r="F11" s="8"/>
      <c r="G11" s="9"/>
      <c r="H11" s="9"/>
      <c r="J11" s="9"/>
    </row>
    <row r="12" spans="3:10" x14ac:dyDescent="0.3">
      <c r="C12" s="1" t="s">
        <v>7</v>
      </c>
      <c r="D12" s="1"/>
      <c r="E12" s="1"/>
      <c r="F12" s="1"/>
      <c r="G12" s="1"/>
      <c r="H12" s="1"/>
      <c r="I12" s="1"/>
      <c r="J12" s="1"/>
    </row>
    <row r="13" spans="3:10" ht="21.6" customHeight="1" x14ac:dyDescent="0.3">
      <c r="C13" s="10" t="s">
        <v>8</v>
      </c>
      <c r="D13" s="10" t="s">
        <v>9</v>
      </c>
      <c r="E13" s="11" t="s">
        <v>10</v>
      </c>
      <c r="F13" s="11" t="s">
        <v>11</v>
      </c>
      <c r="G13" s="12" t="s">
        <v>12</v>
      </c>
      <c r="H13" s="12"/>
      <c r="I13" s="12" t="s">
        <v>13</v>
      </c>
      <c r="J13" s="12"/>
    </row>
    <row r="14" spans="3:10" x14ac:dyDescent="0.3">
      <c r="C14" s="10"/>
      <c r="D14" s="10"/>
      <c r="E14" s="13"/>
      <c r="F14" s="13"/>
      <c r="G14" s="14" t="s">
        <v>14</v>
      </c>
      <c r="H14" s="14" t="s">
        <v>15</v>
      </c>
      <c r="I14" s="14" t="s">
        <v>14</v>
      </c>
      <c r="J14" s="14" t="s">
        <v>15</v>
      </c>
    </row>
    <row r="15" spans="3:10" x14ac:dyDescent="0.3">
      <c r="C15" s="15">
        <v>0</v>
      </c>
      <c r="D15" s="16">
        <v>1</v>
      </c>
      <c r="E15" s="17">
        <v>2</v>
      </c>
      <c r="F15" s="17">
        <v>3</v>
      </c>
      <c r="G15" s="16">
        <v>4</v>
      </c>
      <c r="H15" s="16">
        <v>5</v>
      </c>
      <c r="I15" s="16">
        <v>6</v>
      </c>
      <c r="J15" s="16">
        <v>7</v>
      </c>
    </row>
    <row r="16" spans="3:10" x14ac:dyDescent="0.3">
      <c r="C16" s="15"/>
      <c r="D16" s="18" t="s">
        <v>16</v>
      </c>
      <c r="E16" s="19" t="s">
        <v>17</v>
      </c>
      <c r="F16" s="20">
        <v>56000</v>
      </c>
      <c r="G16" s="21"/>
      <c r="H16" s="21">
        <f>+G16*F16</f>
        <v>0</v>
      </c>
      <c r="I16" s="21">
        <v>60</v>
      </c>
      <c r="J16" s="21">
        <f>+I16*F16</f>
        <v>3360000</v>
      </c>
    </row>
    <row r="17" spans="3:10" x14ac:dyDescent="0.3">
      <c r="C17" s="22" t="s">
        <v>18</v>
      </c>
      <c r="D17" s="23" t="s">
        <v>19</v>
      </c>
      <c r="E17" s="24"/>
      <c r="F17" s="24"/>
      <c r="G17" s="25"/>
      <c r="H17" s="26">
        <f>+H16</f>
        <v>0</v>
      </c>
      <c r="I17" s="26"/>
      <c r="J17" s="26">
        <f t="shared" ref="J17" si="0">+J16</f>
        <v>3360000</v>
      </c>
    </row>
    <row r="18" spans="3:10" x14ac:dyDescent="0.3">
      <c r="C18" s="15"/>
      <c r="D18" s="18" t="s">
        <v>20</v>
      </c>
      <c r="E18" s="19" t="s">
        <v>21</v>
      </c>
      <c r="F18" s="20">
        <v>38400</v>
      </c>
      <c r="G18" s="21">
        <v>68</v>
      </c>
      <c r="H18" s="21">
        <f>+G18*F18</f>
        <v>2611200</v>
      </c>
      <c r="I18" s="21">
        <v>113</v>
      </c>
      <c r="J18" s="21">
        <f>+I18*F18</f>
        <v>4339200</v>
      </c>
    </row>
    <row r="19" spans="3:10" x14ac:dyDescent="0.3">
      <c r="C19" s="15"/>
      <c r="D19" s="18" t="s">
        <v>22</v>
      </c>
      <c r="E19" s="19" t="s">
        <v>23</v>
      </c>
      <c r="F19" s="20">
        <v>3400</v>
      </c>
      <c r="G19" s="21">
        <v>29</v>
      </c>
      <c r="H19" s="21">
        <f>+G19*F19</f>
        <v>98600</v>
      </c>
      <c r="I19" s="21">
        <v>940</v>
      </c>
      <c r="J19" s="21">
        <f>+I19*F19</f>
        <v>3196000</v>
      </c>
    </row>
    <row r="20" spans="3:10" x14ac:dyDescent="0.3">
      <c r="C20" s="15"/>
      <c r="D20" s="18" t="s">
        <v>24</v>
      </c>
      <c r="E20" s="19" t="s">
        <v>21</v>
      </c>
      <c r="F20" s="20">
        <v>47500</v>
      </c>
      <c r="G20" s="21"/>
      <c r="H20" s="21">
        <f>+G20*F20</f>
        <v>0</v>
      </c>
      <c r="I20" s="21">
        <v>128</v>
      </c>
      <c r="J20" s="21">
        <f>+I20*F20</f>
        <v>6080000</v>
      </c>
    </row>
    <row r="21" spans="3:10" x14ac:dyDescent="0.3">
      <c r="C21" s="22" t="s">
        <v>25</v>
      </c>
      <c r="D21" s="27" t="s">
        <v>26</v>
      </c>
      <c r="E21" s="28"/>
      <c r="F21" s="29"/>
      <c r="G21" s="25"/>
      <c r="H21" s="26">
        <f>SUM(H18:H20)</f>
        <v>2709800</v>
      </c>
      <c r="I21" s="26"/>
      <c r="J21" s="26">
        <f t="shared" ref="J21" si="1">SUM(J18:J20)</f>
        <v>13615200</v>
      </c>
    </row>
    <row r="22" spans="3:10" x14ac:dyDescent="0.3">
      <c r="C22" s="15"/>
      <c r="D22" s="18" t="s">
        <v>27</v>
      </c>
      <c r="E22" s="19" t="s">
        <v>28</v>
      </c>
      <c r="F22" s="20">
        <v>42500</v>
      </c>
      <c r="G22" s="30">
        <v>97</v>
      </c>
      <c r="H22" s="30">
        <f>+G22*F22</f>
        <v>4122500</v>
      </c>
      <c r="I22" s="30">
        <v>185</v>
      </c>
      <c r="J22" s="30">
        <f>+I22*F22</f>
        <v>7862500</v>
      </c>
    </row>
    <row r="23" spans="3:10" x14ac:dyDescent="0.3">
      <c r="C23" s="15"/>
      <c r="D23" s="18" t="s">
        <v>29</v>
      </c>
      <c r="E23" s="19" t="s">
        <v>30</v>
      </c>
      <c r="F23" s="20">
        <v>35000</v>
      </c>
      <c r="G23" s="30"/>
      <c r="H23" s="30">
        <f t="shared" ref="H23:H25" si="2">+G23*F23</f>
        <v>0</v>
      </c>
      <c r="I23" s="30">
        <v>18</v>
      </c>
      <c r="J23" s="30">
        <f t="shared" ref="J23:J25" si="3">+I23*F23</f>
        <v>630000</v>
      </c>
    </row>
    <row r="24" spans="3:10" x14ac:dyDescent="0.3">
      <c r="C24" s="15"/>
      <c r="D24" s="18" t="s">
        <v>31</v>
      </c>
      <c r="E24" s="19" t="s">
        <v>28</v>
      </c>
      <c r="F24" s="20">
        <v>12500</v>
      </c>
      <c r="G24" s="30">
        <v>38</v>
      </c>
      <c r="H24" s="30">
        <f t="shared" si="2"/>
        <v>475000</v>
      </c>
      <c r="I24" s="30">
        <v>68</v>
      </c>
      <c r="J24" s="30">
        <f t="shared" si="3"/>
        <v>850000</v>
      </c>
    </row>
    <row r="25" spans="3:10" x14ac:dyDescent="0.3">
      <c r="C25" s="15"/>
      <c r="D25" s="18" t="s">
        <v>32</v>
      </c>
      <c r="E25" s="19" t="s">
        <v>28</v>
      </c>
      <c r="F25" s="20">
        <v>11500</v>
      </c>
      <c r="G25" s="30">
        <v>113</v>
      </c>
      <c r="H25" s="30">
        <f t="shared" si="2"/>
        <v>1299500</v>
      </c>
      <c r="I25" s="30">
        <v>311</v>
      </c>
      <c r="J25" s="30">
        <f t="shared" si="3"/>
        <v>3576500</v>
      </c>
    </row>
    <row r="26" spans="3:10" x14ac:dyDescent="0.3">
      <c r="C26" s="22" t="s">
        <v>33</v>
      </c>
      <c r="D26" s="27" t="s">
        <v>34</v>
      </c>
      <c r="E26" s="28"/>
      <c r="F26" s="29"/>
      <c r="G26" s="25"/>
      <c r="H26" s="26">
        <f>SUM(H22:H25)</f>
        <v>5897000</v>
      </c>
      <c r="I26" s="26"/>
      <c r="J26" s="26">
        <f>SUM(J22:J25)</f>
        <v>12919000</v>
      </c>
    </row>
    <row r="27" spans="3:10" x14ac:dyDescent="0.3">
      <c r="C27" s="15"/>
      <c r="D27" s="31" t="s">
        <v>35</v>
      </c>
      <c r="E27" s="19" t="s">
        <v>23</v>
      </c>
      <c r="F27" s="20">
        <v>8500</v>
      </c>
      <c r="G27" s="30">
        <v>16</v>
      </c>
      <c r="H27" s="30">
        <f>+G27*F27</f>
        <v>136000</v>
      </c>
      <c r="I27" s="30">
        <v>51</v>
      </c>
      <c r="J27" s="21">
        <f t="shared" ref="J27:J28" si="4">+I27*F27</f>
        <v>433500</v>
      </c>
    </row>
    <row r="28" spans="3:10" x14ac:dyDescent="0.3">
      <c r="C28" s="15"/>
      <c r="D28" s="31" t="s">
        <v>36</v>
      </c>
      <c r="E28" s="19" t="s">
        <v>23</v>
      </c>
      <c r="F28" s="20">
        <v>10300</v>
      </c>
      <c r="G28" s="30"/>
      <c r="H28" s="30">
        <f>+G28*F28</f>
        <v>0</v>
      </c>
      <c r="I28" s="30">
        <v>37</v>
      </c>
      <c r="J28" s="21">
        <f t="shared" si="4"/>
        <v>381100</v>
      </c>
    </row>
    <row r="29" spans="3:10" x14ac:dyDescent="0.3">
      <c r="C29" s="15"/>
      <c r="D29" s="32" t="s">
        <v>37</v>
      </c>
      <c r="E29" s="33" t="s">
        <v>23</v>
      </c>
      <c r="F29" s="34">
        <v>9150</v>
      </c>
      <c r="G29" s="30"/>
      <c r="H29" s="21">
        <f t="shared" ref="H29:H31" si="5">+F29*G29</f>
        <v>0</v>
      </c>
      <c r="I29" s="30">
        <v>70</v>
      </c>
      <c r="J29" s="21">
        <f>+I29*F29</f>
        <v>640500</v>
      </c>
    </row>
    <row r="30" spans="3:10" x14ac:dyDescent="0.3">
      <c r="C30" s="15"/>
      <c r="D30" s="32" t="s">
        <v>38</v>
      </c>
      <c r="E30" s="33" t="s">
        <v>23</v>
      </c>
      <c r="F30" s="34">
        <v>8500</v>
      </c>
      <c r="G30" s="30"/>
      <c r="H30" s="21">
        <f t="shared" si="5"/>
        <v>0</v>
      </c>
      <c r="I30" s="30">
        <v>19</v>
      </c>
      <c r="J30" s="21">
        <f>+I30*F30</f>
        <v>161500</v>
      </c>
    </row>
    <row r="31" spans="3:10" x14ac:dyDescent="0.3">
      <c r="C31" s="15"/>
      <c r="D31" s="32" t="s">
        <v>39</v>
      </c>
      <c r="E31" s="33" t="s">
        <v>23</v>
      </c>
      <c r="F31" s="34">
        <v>4600</v>
      </c>
      <c r="G31" s="30"/>
      <c r="H31" s="21">
        <f t="shared" si="5"/>
        <v>0</v>
      </c>
      <c r="I31" s="30">
        <v>38</v>
      </c>
      <c r="J31" s="21">
        <f t="shared" ref="J31" si="6">+I31*F31</f>
        <v>174800</v>
      </c>
    </row>
    <row r="32" spans="3:10" x14ac:dyDescent="0.3">
      <c r="C32" s="15"/>
      <c r="D32" s="32" t="s">
        <v>40</v>
      </c>
      <c r="E32" s="33" t="s">
        <v>23</v>
      </c>
      <c r="F32" s="34">
        <v>5500</v>
      </c>
      <c r="G32" s="21"/>
      <c r="H32" s="21">
        <f>+F32*G32</f>
        <v>0</v>
      </c>
      <c r="I32" s="21">
        <v>257</v>
      </c>
      <c r="J32" s="21">
        <f>+I32*F32</f>
        <v>1413500</v>
      </c>
    </row>
    <row r="33" spans="3:10" x14ac:dyDescent="0.3">
      <c r="C33" s="15"/>
      <c r="D33" s="32" t="s">
        <v>41</v>
      </c>
      <c r="E33" s="33" t="s">
        <v>23</v>
      </c>
      <c r="F33" s="34">
        <v>4200</v>
      </c>
      <c r="G33" s="21">
        <v>29</v>
      </c>
      <c r="H33" s="21">
        <f>+F33*G33</f>
        <v>121800</v>
      </c>
      <c r="I33" s="21">
        <v>420</v>
      </c>
      <c r="J33" s="21">
        <f t="shared" ref="J33:J36" si="7">+I33*F33</f>
        <v>1764000</v>
      </c>
    </row>
    <row r="34" spans="3:10" x14ac:dyDescent="0.3">
      <c r="C34" s="15"/>
      <c r="D34" s="32" t="s">
        <v>42</v>
      </c>
      <c r="E34" s="33" t="s">
        <v>23</v>
      </c>
      <c r="F34" s="34">
        <v>11500</v>
      </c>
      <c r="G34" s="21"/>
      <c r="H34" s="21">
        <f t="shared" ref="H34:H41" si="8">+F34*G34</f>
        <v>0</v>
      </c>
      <c r="I34" s="21">
        <v>14</v>
      </c>
      <c r="J34" s="21">
        <f t="shared" si="7"/>
        <v>161000</v>
      </c>
    </row>
    <row r="35" spans="3:10" x14ac:dyDescent="0.3">
      <c r="C35" s="15"/>
      <c r="D35" s="32" t="s">
        <v>43</v>
      </c>
      <c r="E35" s="33" t="s">
        <v>23</v>
      </c>
      <c r="F35" s="34">
        <v>8500</v>
      </c>
      <c r="G35" s="21"/>
      <c r="H35" s="21">
        <f t="shared" si="8"/>
        <v>0</v>
      </c>
      <c r="I35" s="21">
        <v>40</v>
      </c>
      <c r="J35" s="21">
        <f t="shared" si="7"/>
        <v>340000</v>
      </c>
    </row>
    <row r="36" spans="3:10" x14ac:dyDescent="0.3">
      <c r="C36" s="15"/>
      <c r="D36" s="32" t="s">
        <v>44</v>
      </c>
      <c r="E36" s="33" t="s">
        <v>23</v>
      </c>
      <c r="F36" s="34">
        <v>6500</v>
      </c>
      <c r="G36" s="21"/>
      <c r="H36" s="21">
        <f t="shared" si="8"/>
        <v>0</v>
      </c>
      <c r="I36" s="21">
        <v>2</v>
      </c>
      <c r="J36" s="21">
        <f t="shared" si="7"/>
        <v>13000</v>
      </c>
    </row>
    <row r="37" spans="3:10" x14ac:dyDescent="0.3">
      <c r="C37" s="15"/>
      <c r="D37" s="32" t="s">
        <v>45</v>
      </c>
      <c r="E37" s="33" t="s">
        <v>23</v>
      </c>
      <c r="F37" s="34">
        <v>12500</v>
      </c>
      <c r="G37" s="21">
        <v>2</v>
      </c>
      <c r="H37" s="21">
        <f t="shared" si="8"/>
        <v>25000</v>
      </c>
      <c r="I37" s="21">
        <v>5</v>
      </c>
      <c r="J37" s="21">
        <f>+I37*F37</f>
        <v>62500</v>
      </c>
    </row>
    <row r="38" spans="3:10" x14ac:dyDescent="0.3">
      <c r="C38" s="15"/>
      <c r="D38" s="35" t="s">
        <v>46</v>
      </c>
      <c r="E38" s="33" t="s">
        <v>23</v>
      </c>
      <c r="F38" s="34">
        <v>5550</v>
      </c>
      <c r="G38" s="21"/>
      <c r="H38" s="21">
        <f t="shared" si="8"/>
        <v>0</v>
      </c>
      <c r="I38" s="21">
        <v>2</v>
      </c>
      <c r="J38" s="21">
        <f>+I38*F38</f>
        <v>11100</v>
      </c>
    </row>
    <row r="39" spans="3:10" x14ac:dyDescent="0.3">
      <c r="C39" s="15"/>
      <c r="D39" s="35" t="s">
        <v>47</v>
      </c>
      <c r="E39" s="33" t="s">
        <v>23</v>
      </c>
      <c r="F39" s="34">
        <v>7500</v>
      </c>
      <c r="G39" s="21">
        <v>2</v>
      </c>
      <c r="H39" s="21">
        <f t="shared" si="8"/>
        <v>15000</v>
      </c>
      <c r="I39" s="21">
        <v>4</v>
      </c>
      <c r="J39" s="21">
        <f>+I39*F39</f>
        <v>30000</v>
      </c>
    </row>
    <row r="40" spans="3:10" x14ac:dyDescent="0.3">
      <c r="C40" s="15"/>
      <c r="D40" s="35" t="s">
        <v>48</v>
      </c>
      <c r="E40" s="33" t="s">
        <v>23</v>
      </c>
      <c r="F40" s="34">
        <v>10200</v>
      </c>
      <c r="G40" s="21"/>
      <c r="H40" s="21">
        <f t="shared" si="8"/>
        <v>0</v>
      </c>
      <c r="I40" s="21">
        <v>2</v>
      </c>
      <c r="J40" s="21">
        <f>+I40*F40</f>
        <v>20400</v>
      </c>
    </row>
    <row r="41" spans="3:10" x14ac:dyDescent="0.3">
      <c r="C41" s="15"/>
      <c r="D41" s="35" t="s">
        <v>49</v>
      </c>
      <c r="E41" s="33" t="s">
        <v>23</v>
      </c>
      <c r="F41" s="34">
        <v>9600</v>
      </c>
      <c r="G41" s="21"/>
      <c r="H41" s="21">
        <f t="shared" si="8"/>
        <v>0</v>
      </c>
      <c r="I41" s="21">
        <v>14</v>
      </c>
      <c r="J41" s="21">
        <f>+I41*F41</f>
        <v>134400</v>
      </c>
    </row>
    <row r="42" spans="3:10" x14ac:dyDescent="0.3">
      <c r="C42" s="22" t="s">
        <v>50</v>
      </c>
      <c r="D42" s="36" t="s">
        <v>51</v>
      </c>
      <c r="E42" s="37"/>
      <c r="F42" s="38"/>
      <c r="G42" s="25"/>
      <c r="H42" s="26">
        <f>SUM(H27:H41)</f>
        <v>297800</v>
      </c>
      <c r="I42" s="26"/>
      <c r="J42" s="26">
        <f>SUM(J27:J41)</f>
        <v>5741300</v>
      </c>
    </row>
    <row r="43" spans="3:10" x14ac:dyDescent="0.3">
      <c r="C43" s="22" t="s">
        <v>52</v>
      </c>
      <c r="D43" s="36" t="s">
        <v>53</v>
      </c>
      <c r="E43" s="37"/>
      <c r="F43" s="38"/>
      <c r="G43" s="25"/>
      <c r="H43" s="26">
        <f>+H42+H21+H26</f>
        <v>8904600</v>
      </c>
      <c r="I43" s="26"/>
      <c r="J43" s="26">
        <f>+J42+J21+J26</f>
        <v>32275500</v>
      </c>
    </row>
    <row r="44" spans="3:10" x14ac:dyDescent="0.3">
      <c r="C44" s="15"/>
      <c r="D44" s="18" t="s">
        <v>54</v>
      </c>
      <c r="E44" s="19" t="s">
        <v>21</v>
      </c>
      <c r="F44" s="20">
        <v>35000</v>
      </c>
      <c r="G44" s="30"/>
      <c r="H44" s="30">
        <f>+F44*G44</f>
        <v>0</v>
      </c>
      <c r="I44" s="30">
        <v>180</v>
      </c>
      <c r="J44" s="30">
        <f>+F44*I44</f>
        <v>6300000</v>
      </c>
    </row>
    <row r="45" spans="3:10" x14ac:dyDescent="0.3">
      <c r="C45" s="15"/>
      <c r="D45" s="18" t="s">
        <v>55</v>
      </c>
      <c r="E45" s="19" t="s">
        <v>21</v>
      </c>
      <c r="F45" s="20">
        <v>600000</v>
      </c>
      <c r="G45" s="30">
        <v>5</v>
      </c>
      <c r="H45" s="30">
        <f t="shared" ref="H45:H47" si="9">+F45*G45</f>
        <v>3000000</v>
      </c>
      <c r="I45" s="30">
        <v>5</v>
      </c>
      <c r="J45" s="30">
        <f>+F45*I45</f>
        <v>3000000</v>
      </c>
    </row>
    <row r="46" spans="3:10" x14ac:dyDescent="0.3">
      <c r="C46" s="15"/>
      <c r="D46" s="18" t="s">
        <v>56</v>
      </c>
      <c r="E46" s="19" t="s">
        <v>21</v>
      </c>
      <c r="F46" s="20">
        <v>450000</v>
      </c>
      <c r="G46" s="30">
        <v>6</v>
      </c>
      <c r="H46" s="30">
        <f t="shared" si="9"/>
        <v>2700000</v>
      </c>
      <c r="I46" s="30">
        <v>80</v>
      </c>
      <c r="J46" s="30">
        <f>+F46*I46</f>
        <v>36000000</v>
      </c>
    </row>
    <row r="47" spans="3:10" x14ac:dyDescent="0.3">
      <c r="C47" s="15"/>
      <c r="D47" s="18" t="s">
        <v>57</v>
      </c>
      <c r="E47" s="19" t="s">
        <v>21</v>
      </c>
      <c r="F47" s="20">
        <v>1050</v>
      </c>
      <c r="G47" s="30">
        <v>662.86</v>
      </c>
      <c r="H47" s="30">
        <f t="shared" si="9"/>
        <v>696003</v>
      </c>
      <c r="I47" s="30">
        <v>4932.8599999999997</v>
      </c>
      <c r="J47" s="30">
        <f>+F47*I47</f>
        <v>5179503</v>
      </c>
    </row>
    <row r="48" spans="3:10" x14ac:dyDescent="0.3">
      <c r="C48" s="39" t="s">
        <v>58</v>
      </c>
      <c r="D48" s="40" t="s">
        <v>59</v>
      </c>
      <c r="E48" s="28"/>
      <c r="F48" s="29"/>
      <c r="G48" s="25"/>
      <c r="H48" s="26">
        <f>SUM(H44:H47)</f>
        <v>6396003</v>
      </c>
      <c r="I48" s="26"/>
      <c r="J48" s="26">
        <f t="shared" ref="J48" si="10">SUM(J44:J47)</f>
        <v>50479503</v>
      </c>
    </row>
    <row r="49" spans="3:15" x14ac:dyDescent="0.3">
      <c r="C49" s="15"/>
      <c r="D49" s="41" t="s">
        <v>60</v>
      </c>
      <c r="E49" s="42" t="s">
        <v>61</v>
      </c>
      <c r="F49" s="43">
        <v>50000</v>
      </c>
      <c r="G49" s="21"/>
      <c r="H49" s="44">
        <f t="shared" ref="H49:H52" si="11">G49*F49</f>
        <v>0</v>
      </c>
      <c r="I49" s="21">
        <v>30</v>
      </c>
      <c r="J49" s="44">
        <f>I49*F49</f>
        <v>1500000</v>
      </c>
    </row>
    <row r="50" spans="3:15" x14ac:dyDescent="0.3">
      <c r="C50" s="15"/>
      <c r="D50" s="18" t="s">
        <v>62</v>
      </c>
      <c r="E50" s="19" t="s">
        <v>61</v>
      </c>
      <c r="F50" s="20">
        <v>35000</v>
      </c>
      <c r="G50" s="21"/>
      <c r="H50" s="44">
        <f t="shared" si="11"/>
        <v>0</v>
      </c>
      <c r="I50" s="21">
        <v>30</v>
      </c>
      <c r="J50" s="44">
        <f>I50*F50</f>
        <v>1050000</v>
      </c>
    </row>
    <row r="51" spans="3:15" x14ac:dyDescent="0.3">
      <c r="C51" s="15"/>
      <c r="D51" s="18" t="s">
        <v>63</v>
      </c>
      <c r="E51" s="19" t="s">
        <v>17</v>
      </c>
      <c r="F51" s="20">
        <v>11500</v>
      </c>
      <c r="G51" s="21"/>
      <c r="H51" s="44">
        <f>+G51*F51</f>
        <v>0</v>
      </c>
      <c r="I51" s="21">
        <v>3230</v>
      </c>
      <c r="J51" s="44">
        <f>I51*F51</f>
        <v>37145000</v>
      </c>
    </row>
    <row r="52" spans="3:15" x14ac:dyDescent="0.3">
      <c r="C52" s="15"/>
      <c r="D52" s="45" t="s">
        <v>64</v>
      </c>
      <c r="E52" s="15" t="s">
        <v>65</v>
      </c>
      <c r="F52" s="46">
        <v>65500</v>
      </c>
      <c r="G52" s="21">
        <v>159</v>
      </c>
      <c r="H52" s="44">
        <f t="shared" si="11"/>
        <v>10414500</v>
      </c>
      <c r="I52" s="21">
        <v>1204</v>
      </c>
      <c r="J52" s="44">
        <f>I52*F52</f>
        <v>78862000</v>
      </c>
    </row>
    <row r="53" spans="3:15" x14ac:dyDescent="0.3">
      <c r="C53" s="39" t="s">
        <v>66</v>
      </c>
      <c r="D53" s="47" t="s">
        <v>15</v>
      </c>
      <c r="E53" s="48"/>
      <c r="F53" s="49"/>
      <c r="G53" s="50"/>
      <c r="H53" s="50">
        <f>+H51+H52+H50</f>
        <v>10414500</v>
      </c>
      <c r="I53" s="50"/>
      <c r="J53" s="50">
        <f>SUM(J49:J52)</f>
        <v>118557000</v>
      </c>
    </row>
    <row r="54" spans="3:15" x14ac:dyDescent="0.3">
      <c r="C54" s="51"/>
      <c r="D54" s="18" t="s">
        <v>67</v>
      </c>
      <c r="E54" s="19" t="s">
        <v>21</v>
      </c>
      <c r="F54" s="20">
        <v>950</v>
      </c>
      <c r="G54" s="52">
        <v>1173</v>
      </c>
      <c r="H54" s="52">
        <f>+G54*F54</f>
        <v>1114350</v>
      </c>
      <c r="I54" s="30">
        <v>10238</v>
      </c>
      <c r="J54" s="53">
        <f>+I54*F54</f>
        <v>9726100</v>
      </c>
    </row>
    <row r="55" spans="3:15" x14ac:dyDescent="0.3">
      <c r="C55" s="51"/>
      <c r="D55" s="18" t="s">
        <v>68</v>
      </c>
      <c r="E55" s="19" t="s">
        <v>21</v>
      </c>
      <c r="F55" s="20">
        <v>1050</v>
      </c>
      <c r="G55" s="52">
        <v>2766</v>
      </c>
      <c r="H55" s="52">
        <f t="shared" ref="H55:H57" si="12">+G55*F55</f>
        <v>2904300</v>
      </c>
      <c r="I55" s="30">
        <v>10234</v>
      </c>
      <c r="J55" s="53">
        <f>+I55*F55</f>
        <v>10745700</v>
      </c>
      <c r="L55" s="54"/>
      <c r="O55" s="7"/>
    </row>
    <row r="56" spans="3:15" x14ac:dyDescent="0.3">
      <c r="C56" s="51"/>
      <c r="D56" s="19" t="s">
        <v>69</v>
      </c>
      <c r="E56" s="19" t="s">
        <v>21</v>
      </c>
      <c r="F56" s="20">
        <v>1100</v>
      </c>
      <c r="G56" s="52">
        <v>1085</v>
      </c>
      <c r="H56" s="52">
        <f t="shared" si="12"/>
        <v>1193500</v>
      </c>
      <c r="I56" s="30">
        <v>1865</v>
      </c>
      <c r="J56" s="53">
        <f>+I56*F56</f>
        <v>2051500</v>
      </c>
      <c r="L56" s="54"/>
      <c r="O56" s="7"/>
    </row>
    <row r="57" spans="3:15" x14ac:dyDescent="0.3">
      <c r="C57" s="51"/>
      <c r="D57" s="18" t="s">
        <v>70</v>
      </c>
      <c r="E57" s="19" t="s">
        <v>21</v>
      </c>
      <c r="F57" s="20">
        <v>1250</v>
      </c>
      <c r="G57" s="52"/>
      <c r="H57" s="52">
        <f t="shared" si="12"/>
        <v>0</v>
      </c>
      <c r="I57" s="30">
        <v>4260</v>
      </c>
      <c r="J57" s="53">
        <f>+I57*F57</f>
        <v>5325000</v>
      </c>
      <c r="L57" s="54"/>
      <c r="O57" s="7"/>
    </row>
    <row r="58" spans="3:15" x14ac:dyDescent="0.3">
      <c r="C58" s="39" t="s">
        <v>71</v>
      </c>
      <c r="D58" s="40" t="s">
        <v>72</v>
      </c>
      <c r="E58" s="28"/>
      <c r="F58" s="29"/>
      <c r="G58" s="55"/>
      <c r="H58" s="56">
        <f>+H54+H55+H56+H57</f>
        <v>5212150</v>
      </c>
      <c r="I58" s="56"/>
      <c r="J58" s="57">
        <f>+J54+J55+J56+J57</f>
        <v>27848300</v>
      </c>
      <c r="L58" s="54"/>
      <c r="O58" s="7"/>
    </row>
    <row r="59" spans="3:15" x14ac:dyDescent="0.3">
      <c r="C59" s="58" t="s">
        <v>73</v>
      </c>
      <c r="D59" s="59" t="s">
        <v>74</v>
      </c>
      <c r="E59" s="39"/>
      <c r="F59" s="60"/>
      <c r="G59" s="56"/>
      <c r="H59" s="56">
        <f>+H58+H53+H43+H17+H48</f>
        <v>30927253</v>
      </c>
      <c r="I59" s="56"/>
      <c r="J59" s="56">
        <f>+J58+J53+J43+J17+J48</f>
        <v>232520303</v>
      </c>
      <c r="K59"/>
      <c r="L59" s="54"/>
      <c r="O59" s="7"/>
    </row>
    <row r="60" spans="3:15" x14ac:dyDescent="0.3">
      <c r="C60" s="51"/>
      <c r="D60" s="61" t="s">
        <v>75</v>
      </c>
      <c r="E60" s="19" t="s">
        <v>76</v>
      </c>
      <c r="F60" s="20">
        <v>117612</v>
      </c>
      <c r="G60" s="30"/>
      <c r="H60" s="52" t="s">
        <v>77</v>
      </c>
      <c r="I60" s="30">
        <v>3</v>
      </c>
      <c r="J60" s="52">
        <f>+I60*F60</f>
        <v>352836</v>
      </c>
      <c r="K60" s="62"/>
      <c r="L60" s="2"/>
      <c r="O60" s="7"/>
    </row>
    <row r="61" spans="3:15" x14ac:dyDescent="0.3">
      <c r="C61" s="51"/>
      <c r="D61" s="63" t="s">
        <v>78</v>
      </c>
      <c r="E61" s="19" t="s">
        <v>76</v>
      </c>
      <c r="F61" s="20">
        <v>137700</v>
      </c>
      <c r="G61" s="30"/>
      <c r="H61" s="52">
        <f t="shared" ref="H61" si="13">+G61*F61</f>
        <v>0</v>
      </c>
      <c r="I61" s="30">
        <v>1</v>
      </c>
      <c r="J61" s="52">
        <f>+I61*F61</f>
        <v>137700</v>
      </c>
      <c r="K61" s="62"/>
      <c r="L61" s="2"/>
      <c r="O61" s="7"/>
    </row>
    <row r="62" spans="3:15" x14ac:dyDescent="0.3">
      <c r="C62" s="51"/>
      <c r="D62" s="64" t="s">
        <v>79</v>
      </c>
      <c r="E62" s="19"/>
      <c r="F62" s="20">
        <v>150000</v>
      </c>
      <c r="G62" s="30">
        <v>12</v>
      </c>
      <c r="H62" s="52">
        <f>+G62*F62</f>
        <v>1800000</v>
      </c>
      <c r="I62" s="30">
        <v>12</v>
      </c>
      <c r="J62" s="52">
        <f>+I62*F62</f>
        <v>1800000</v>
      </c>
      <c r="K62" s="62"/>
      <c r="L62" s="2"/>
      <c r="O62" s="7"/>
    </row>
    <row r="63" spans="3:15" x14ac:dyDescent="0.3">
      <c r="C63" s="51"/>
      <c r="D63" s="65" t="s">
        <v>80</v>
      </c>
      <c r="E63" s="66" t="s">
        <v>81</v>
      </c>
      <c r="F63" s="67">
        <v>650000</v>
      </c>
      <c r="G63" s="30">
        <v>2</v>
      </c>
      <c r="H63" s="52">
        <f>+G63*F63</f>
        <v>1300000</v>
      </c>
      <c r="I63" s="30">
        <v>12</v>
      </c>
      <c r="J63" s="52">
        <f>+I63*F63</f>
        <v>7800000</v>
      </c>
      <c r="K63"/>
      <c r="L63" s="2"/>
      <c r="O63" s="7"/>
    </row>
    <row r="64" spans="3:15" x14ac:dyDescent="0.3">
      <c r="C64" s="51" t="s">
        <v>82</v>
      </c>
      <c r="D64" s="68" t="s">
        <v>83</v>
      </c>
      <c r="E64" s="58"/>
      <c r="F64" s="69"/>
      <c r="G64" s="50"/>
      <c r="H64" s="50">
        <f>SUM(H60:H63)</f>
        <v>3100000</v>
      </c>
      <c r="I64" s="70"/>
      <c r="J64" s="50">
        <f t="shared" ref="J64" si="14">SUM(J60:J63)</f>
        <v>10090536</v>
      </c>
      <c r="K64" s="62"/>
      <c r="L64" s="2"/>
      <c r="O64" s="71"/>
    </row>
    <row r="65" spans="3:15" x14ac:dyDescent="0.3">
      <c r="C65" s="51"/>
      <c r="D65" s="18" t="s">
        <v>84</v>
      </c>
      <c r="E65" s="19" t="s">
        <v>23</v>
      </c>
      <c r="F65" s="20">
        <f>35500*90%</f>
        <v>31950</v>
      </c>
      <c r="G65" s="72"/>
      <c r="H65" s="72">
        <f>+G65*F65</f>
        <v>0</v>
      </c>
      <c r="I65" s="72">
        <v>37</v>
      </c>
      <c r="J65" s="72">
        <f t="shared" ref="J65:J91" si="15">+I65*F65</f>
        <v>1182150</v>
      </c>
      <c r="K65"/>
      <c r="L65" s="2"/>
      <c r="O65" s="73"/>
    </row>
    <row r="66" spans="3:15" x14ac:dyDescent="0.3">
      <c r="C66" s="51"/>
      <c r="D66" s="18" t="s">
        <v>85</v>
      </c>
      <c r="E66" s="19" t="s">
        <v>23</v>
      </c>
      <c r="F66" s="20">
        <v>22500</v>
      </c>
      <c r="G66" s="72"/>
      <c r="H66" s="72">
        <f>+G66*F66</f>
        <v>0</v>
      </c>
      <c r="I66" s="72">
        <v>14</v>
      </c>
      <c r="J66" s="72">
        <f t="shared" si="15"/>
        <v>315000</v>
      </c>
      <c r="K66"/>
      <c r="L66" s="2"/>
      <c r="O66" s="73"/>
    </row>
    <row r="67" spans="3:15" x14ac:dyDescent="0.3">
      <c r="C67" s="51"/>
      <c r="D67" s="18" t="s">
        <v>86</v>
      </c>
      <c r="E67" s="19" t="s">
        <v>23</v>
      </c>
      <c r="F67" s="20">
        <f>36000*90%</f>
        <v>32400</v>
      </c>
      <c r="G67" s="72">
        <v>41</v>
      </c>
      <c r="H67" s="72">
        <f t="shared" ref="H67:H78" si="16">+G67*F67</f>
        <v>1328400</v>
      </c>
      <c r="I67" s="72">
        <v>206</v>
      </c>
      <c r="J67" s="72">
        <f t="shared" si="15"/>
        <v>6674400</v>
      </c>
      <c r="K67"/>
      <c r="L67" s="2"/>
      <c r="O67" s="73"/>
    </row>
    <row r="68" spans="3:15" x14ac:dyDescent="0.3">
      <c r="C68" s="51"/>
      <c r="D68" s="18" t="s">
        <v>87</v>
      </c>
      <c r="E68" s="19" t="s">
        <v>88</v>
      </c>
      <c r="F68" s="20">
        <f>16000*90%</f>
        <v>14400</v>
      </c>
      <c r="G68" s="72">
        <v>41</v>
      </c>
      <c r="H68" s="72">
        <f t="shared" si="16"/>
        <v>590400</v>
      </c>
      <c r="I68" s="72">
        <v>206</v>
      </c>
      <c r="J68" s="72">
        <f t="shared" si="15"/>
        <v>2966400</v>
      </c>
      <c r="K68"/>
      <c r="L68" s="2"/>
      <c r="O68" s="73"/>
    </row>
    <row r="69" spans="3:15" x14ac:dyDescent="0.3">
      <c r="C69" s="51"/>
      <c r="D69" s="18" t="s">
        <v>89</v>
      </c>
      <c r="E69" s="19" t="s">
        <v>23</v>
      </c>
      <c r="F69" s="20">
        <f>36000*90%</f>
        <v>32400</v>
      </c>
      <c r="G69" s="72"/>
      <c r="H69" s="72">
        <f t="shared" si="16"/>
        <v>0</v>
      </c>
      <c r="I69" s="72">
        <v>19</v>
      </c>
      <c r="J69" s="72">
        <f t="shared" si="15"/>
        <v>615600</v>
      </c>
      <c r="K69"/>
      <c r="L69" s="2"/>
      <c r="O69" s="73"/>
    </row>
    <row r="70" spans="3:15" x14ac:dyDescent="0.3">
      <c r="C70" s="51"/>
      <c r="D70" s="18" t="s">
        <v>90</v>
      </c>
      <c r="E70" s="19" t="s">
        <v>91</v>
      </c>
      <c r="F70" s="20">
        <f>16000*90%</f>
        <v>14400</v>
      </c>
      <c r="G70" s="72"/>
      <c r="H70" s="72">
        <f t="shared" si="16"/>
        <v>0</v>
      </c>
      <c r="I70" s="72">
        <v>20</v>
      </c>
      <c r="J70" s="72">
        <f t="shared" si="15"/>
        <v>288000</v>
      </c>
      <c r="L70" s="2"/>
      <c r="O70" s="73"/>
    </row>
    <row r="71" spans="3:15" x14ac:dyDescent="0.3">
      <c r="C71" s="51"/>
      <c r="D71" s="64" t="s">
        <v>92</v>
      </c>
      <c r="E71" s="74" t="s">
        <v>23</v>
      </c>
      <c r="F71" s="75">
        <f>26000*90%</f>
        <v>23400</v>
      </c>
      <c r="G71" s="72">
        <v>10</v>
      </c>
      <c r="H71" s="72">
        <f t="shared" si="16"/>
        <v>234000</v>
      </c>
      <c r="I71" s="72">
        <v>10</v>
      </c>
      <c r="J71" s="72">
        <f t="shared" si="15"/>
        <v>234000</v>
      </c>
      <c r="L71" s="2"/>
      <c r="O71" s="73"/>
    </row>
    <row r="72" spans="3:15" x14ac:dyDescent="0.3">
      <c r="C72" s="51"/>
      <c r="D72" s="18" t="s">
        <v>93</v>
      </c>
      <c r="E72" s="19" t="s">
        <v>76</v>
      </c>
      <c r="F72" s="20">
        <v>18000</v>
      </c>
      <c r="G72" s="72">
        <v>11</v>
      </c>
      <c r="H72" s="72">
        <f t="shared" si="16"/>
        <v>198000</v>
      </c>
      <c r="I72" s="72">
        <v>15</v>
      </c>
      <c r="J72" s="72">
        <f t="shared" si="15"/>
        <v>270000</v>
      </c>
      <c r="L72" s="2"/>
      <c r="O72" s="73"/>
    </row>
    <row r="73" spans="3:15" x14ac:dyDescent="0.3">
      <c r="C73" s="51"/>
      <c r="D73" s="18" t="s">
        <v>94</v>
      </c>
      <c r="E73" s="19" t="s">
        <v>23</v>
      </c>
      <c r="F73" s="20">
        <f>25000*0.9</f>
        <v>22500</v>
      </c>
      <c r="G73" s="52">
        <v>29</v>
      </c>
      <c r="H73" s="72">
        <f t="shared" si="16"/>
        <v>652500</v>
      </c>
      <c r="I73" s="72">
        <v>940</v>
      </c>
      <c r="J73" s="72">
        <f t="shared" si="15"/>
        <v>21150000</v>
      </c>
      <c r="O73" s="73"/>
    </row>
    <row r="74" spans="3:15" x14ac:dyDescent="0.3">
      <c r="C74" s="51"/>
      <c r="D74" s="18" t="s">
        <v>95</v>
      </c>
      <c r="E74" s="19" t="s">
        <v>23</v>
      </c>
      <c r="F74" s="20">
        <f>30000*90%</f>
        <v>27000</v>
      </c>
      <c r="G74" s="52"/>
      <c r="H74" s="72">
        <f t="shared" si="16"/>
        <v>0</v>
      </c>
      <c r="I74" s="72">
        <v>728</v>
      </c>
      <c r="J74" s="72">
        <f t="shared" si="15"/>
        <v>19656000</v>
      </c>
      <c r="O74" s="73"/>
    </row>
    <row r="75" spans="3:15" x14ac:dyDescent="0.3">
      <c r="C75" s="51"/>
      <c r="D75" s="76" t="s">
        <v>96</v>
      </c>
      <c r="E75" s="19" t="s">
        <v>23</v>
      </c>
      <c r="F75" s="20">
        <v>18000</v>
      </c>
      <c r="G75" s="52">
        <v>150</v>
      </c>
      <c r="H75" s="72">
        <f t="shared" si="16"/>
        <v>2700000</v>
      </c>
      <c r="I75" s="72">
        <v>150</v>
      </c>
      <c r="J75" s="72">
        <f t="shared" si="15"/>
        <v>2700000</v>
      </c>
      <c r="O75" s="73"/>
    </row>
    <row r="76" spans="3:15" x14ac:dyDescent="0.3">
      <c r="C76" s="51"/>
      <c r="D76" s="18" t="s">
        <v>97</v>
      </c>
      <c r="E76" s="19" t="s">
        <v>23</v>
      </c>
      <c r="F76" s="20">
        <f>(32000+40000+16000)*0.9</f>
        <v>79200</v>
      </c>
      <c r="G76" s="52">
        <v>16</v>
      </c>
      <c r="H76" s="72">
        <f t="shared" si="16"/>
        <v>1267200</v>
      </c>
      <c r="I76" s="72">
        <v>66</v>
      </c>
      <c r="J76" s="72">
        <f t="shared" si="15"/>
        <v>5227200</v>
      </c>
      <c r="O76" s="73"/>
    </row>
    <row r="77" spans="3:15" x14ac:dyDescent="0.3">
      <c r="C77" s="51"/>
      <c r="D77" s="77" t="s">
        <v>98</v>
      </c>
      <c r="E77" s="78" t="s">
        <v>23</v>
      </c>
      <c r="F77" s="79">
        <f>29000*90%</f>
        <v>26100</v>
      </c>
      <c r="G77" s="52">
        <v>1</v>
      </c>
      <c r="H77" s="72">
        <f t="shared" si="16"/>
        <v>26100</v>
      </c>
      <c r="I77" s="72">
        <v>74</v>
      </c>
      <c r="J77" s="72">
        <f t="shared" si="15"/>
        <v>1931400</v>
      </c>
      <c r="O77" s="73"/>
    </row>
    <row r="78" spans="3:15" x14ac:dyDescent="0.3">
      <c r="C78" s="51"/>
      <c r="D78" s="18" t="s">
        <v>99</v>
      </c>
      <c r="E78" s="19" t="s">
        <v>23</v>
      </c>
      <c r="F78" s="20">
        <f>36000*0.9</f>
        <v>32400</v>
      </c>
      <c r="G78" s="52"/>
      <c r="H78" s="72">
        <f t="shared" si="16"/>
        <v>0</v>
      </c>
      <c r="I78" s="72">
        <v>37</v>
      </c>
      <c r="J78" s="72">
        <f t="shared" si="15"/>
        <v>1198800</v>
      </c>
      <c r="O78" s="73"/>
    </row>
    <row r="79" spans="3:15" x14ac:dyDescent="0.3">
      <c r="C79" s="51"/>
      <c r="D79" s="18" t="s">
        <v>100</v>
      </c>
      <c r="E79" s="19" t="s">
        <v>23</v>
      </c>
      <c r="F79" s="20">
        <f>9000*90%</f>
        <v>8100</v>
      </c>
      <c r="G79" s="52"/>
      <c r="H79" s="72">
        <f>+G79*F79</f>
        <v>0</v>
      </c>
      <c r="I79" s="72">
        <v>292</v>
      </c>
      <c r="J79" s="72">
        <f t="shared" si="15"/>
        <v>2365200</v>
      </c>
      <c r="O79" s="73"/>
    </row>
    <row r="80" spans="3:15" x14ac:dyDescent="0.3">
      <c r="C80" s="51"/>
      <c r="D80" s="18" t="s">
        <v>101</v>
      </c>
      <c r="E80" s="19" t="s">
        <v>23</v>
      </c>
      <c r="F80" s="20">
        <f>6000*90%</f>
        <v>5400</v>
      </c>
      <c r="G80" s="52">
        <v>6</v>
      </c>
      <c r="H80" s="72">
        <f>+G80*F80</f>
        <v>32400</v>
      </c>
      <c r="I80" s="72">
        <v>1346</v>
      </c>
      <c r="J80" s="72">
        <f t="shared" si="15"/>
        <v>7268400</v>
      </c>
      <c r="O80" s="73"/>
    </row>
    <row r="81" spans="3:15" x14ac:dyDescent="0.3">
      <c r="C81" s="51"/>
      <c r="D81" s="18" t="s">
        <v>102</v>
      </c>
      <c r="E81" s="19" t="s">
        <v>23</v>
      </c>
      <c r="F81" s="20">
        <v>105000</v>
      </c>
      <c r="G81" s="52"/>
      <c r="H81" s="72">
        <f>+G81*F81</f>
        <v>0</v>
      </c>
      <c r="I81" s="72">
        <v>5</v>
      </c>
      <c r="J81" s="72">
        <f t="shared" si="15"/>
        <v>525000</v>
      </c>
      <c r="O81" s="73"/>
    </row>
    <row r="82" spans="3:15" x14ac:dyDescent="0.3">
      <c r="C82" s="51"/>
      <c r="D82" s="18" t="s">
        <v>103</v>
      </c>
      <c r="E82" s="19" t="s">
        <v>23</v>
      </c>
      <c r="F82" s="20">
        <f>70000*90%</f>
        <v>63000</v>
      </c>
      <c r="G82" s="52"/>
      <c r="H82" s="72">
        <f t="shared" ref="H82:H91" si="17">+G82*F82</f>
        <v>0</v>
      </c>
      <c r="I82" s="72">
        <v>40</v>
      </c>
      <c r="J82" s="72">
        <f t="shared" si="15"/>
        <v>2520000</v>
      </c>
      <c r="O82" s="73"/>
    </row>
    <row r="83" spans="3:15" x14ac:dyDescent="0.3">
      <c r="C83" s="51"/>
      <c r="D83" s="31" t="s">
        <v>104</v>
      </c>
      <c r="E83" s="19" t="s">
        <v>23</v>
      </c>
      <c r="F83" s="20">
        <f>110000*0.9</f>
        <v>99000</v>
      </c>
      <c r="G83" s="52"/>
      <c r="H83" s="72">
        <f t="shared" si="17"/>
        <v>0</v>
      </c>
      <c r="I83" s="72">
        <v>2</v>
      </c>
      <c r="J83" s="72">
        <f t="shared" si="15"/>
        <v>198000</v>
      </c>
      <c r="O83" s="73"/>
    </row>
    <row r="84" spans="3:15" x14ac:dyDescent="0.3">
      <c r="C84" s="51"/>
      <c r="D84" s="31" t="s">
        <v>105</v>
      </c>
      <c r="E84" s="19" t="s">
        <v>23</v>
      </c>
      <c r="F84" s="20">
        <f>455000*0.9</f>
        <v>409500</v>
      </c>
      <c r="G84" s="52"/>
      <c r="H84" s="72">
        <f t="shared" si="17"/>
        <v>0</v>
      </c>
      <c r="I84" s="72">
        <v>2</v>
      </c>
      <c r="J84" s="72">
        <f t="shared" si="15"/>
        <v>819000</v>
      </c>
      <c r="O84" s="73"/>
    </row>
    <row r="85" spans="3:15" x14ac:dyDescent="0.3">
      <c r="C85" s="51"/>
      <c r="D85" s="31" t="s">
        <v>106</v>
      </c>
      <c r="E85" s="19" t="s">
        <v>23</v>
      </c>
      <c r="F85" s="20">
        <f>510000*0.9</f>
        <v>459000</v>
      </c>
      <c r="G85" s="52">
        <v>2</v>
      </c>
      <c r="H85" s="72">
        <f t="shared" si="17"/>
        <v>918000</v>
      </c>
      <c r="I85" s="72">
        <v>4</v>
      </c>
      <c r="J85" s="72">
        <f t="shared" si="15"/>
        <v>1836000</v>
      </c>
      <c r="O85" s="73"/>
    </row>
    <row r="86" spans="3:15" x14ac:dyDescent="0.3">
      <c r="C86" s="51"/>
      <c r="D86" s="31" t="s">
        <v>107</v>
      </c>
      <c r="E86" s="19" t="s">
        <v>23</v>
      </c>
      <c r="F86" s="20">
        <f>(140000+20000)*0.9</f>
        <v>144000</v>
      </c>
      <c r="G86" s="52"/>
      <c r="H86" s="72">
        <f t="shared" si="17"/>
        <v>0</v>
      </c>
      <c r="I86" s="72">
        <v>2</v>
      </c>
      <c r="J86" s="72">
        <f t="shared" si="15"/>
        <v>288000</v>
      </c>
      <c r="O86" s="73"/>
    </row>
    <row r="87" spans="3:15" x14ac:dyDescent="0.3">
      <c r="C87" s="51"/>
      <c r="D87" s="18" t="s">
        <v>108</v>
      </c>
      <c r="E87" s="19" t="s">
        <v>23</v>
      </c>
      <c r="F87" s="20">
        <f>95000*0.9</f>
        <v>85500</v>
      </c>
      <c r="G87" s="52"/>
      <c r="H87" s="72">
        <f t="shared" si="17"/>
        <v>0</v>
      </c>
      <c r="I87" s="72">
        <v>19</v>
      </c>
      <c r="J87" s="72">
        <f t="shared" si="15"/>
        <v>1624500</v>
      </c>
      <c r="O87" s="73"/>
    </row>
    <row r="88" spans="3:15" x14ac:dyDescent="0.3">
      <c r="C88" s="51"/>
      <c r="D88" s="80" t="s">
        <v>109</v>
      </c>
      <c r="E88" s="74" t="s">
        <v>23</v>
      </c>
      <c r="F88" s="75">
        <v>112500</v>
      </c>
      <c r="G88" s="52">
        <v>2</v>
      </c>
      <c r="H88" s="72">
        <f t="shared" si="17"/>
        <v>225000</v>
      </c>
      <c r="I88" s="72">
        <f t="shared" ref="I88:I90" si="18">+G88</f>
        <v>2</v>
      </c>
      <c r="J88" s="72">
        <f t="shared" si="15"/>
        <v>225000</v>
      </c>
      <c r="O88" s="73"/>
    </row>
    <row r="89" spans="3:15" x14ac:dyDescent="0.3">
      <c r="C89" s="51"/>
      <c r="D89" s="80" t="s">
        <v>110</v>
      </c>
      <c r="E89" s="74" t="s">
        <v>23</v>
      </c>
      <c r="F89" s="75">
        <v>45000</v>
      </c>
      <c r="G89" s="52">
        <v>5</v>
      </c>
      <c r="H89" s="72">
        <f t="shared" si="17"/>
        <v>225000</v>
      </c>
      <c r="I89" s="72">
        <f t="shared" si="18"/>
        <v>5</v>
      </c>
      <c r="J89" s="72">
        <f t="shared" si="15"/>
        <v>225000</v>
      </c>
      <c r="O89" s="73"/>
    </row>
    <row r="90" spans="3:15" x14ac:dyDescent="0.3">
      <c r="C90" s="51"/>
      <c r="D90" s="64" t="s">
        <v>111</v>
      </c>
      <c r="E90" s="74" t="s">
        <v>23</v>
      </c>
      <c r="F90" s="75">
        <v>54000</v>
      </c>
      <c r="G90" s="52">
        <v>15</v>
      </c>
      <c r="H90" s="72">
        <f t="shared" si="17"/>
        <v>810000</v>
      </c>
      <c r="I90" s="72">
        <f t="shared" si="18"/>
        <v>15</v>
      </c>
      <c r="J90" s="72">
        <f t="shared" si="15"/>
        <v>810000</v>
      </c>
      <c r="O90" s="73"/>
    </row>
    <row r="91" spans="3:15" x14ac:dyDescent="0.3">
      <c r="C91" s="51"/>
      <c r="D91" s="64" t="s">
        <v>112</v>
      </c>
      <c r="E91" s="74" t="s">
        <v>23</v>
      </c>
      <c r="F91" s="75">
        <v>54000</v>
      </c>
      <c r="G91" s="52">
        <v>3</v>
      </c>
      <c r="H91" s="72">
        <f t="shared" si="17"/>
        <v>162000</v>
      </c>
      <c r="I91" s="72">
        <v>3</v>
      </c>
      <c r="J91" s="72">
        <f t="shared" si="15"/>
        <v>162000</v>
      </c>
      <c r="O91" s="73"/>
    </row>
    <row r="92" spans="3:15" x14ac:dyDescent="0.3">
      <c r="C92" s="58" t="s">
        <v>113</v>
      </c>
      <c r="D92" s="81" t="s">
        <v>114</v>
      </c>
      <c r="E92" s="51"/>
      <c r="F92" s="82"/>
      <c r="G92" s="83"/>
      <c r="H92" s="83">
        <f>SUM(H65:H91)</f>
        <v>9369000</v>
      </c>
      <c r="I92" s="83"/>
      <c r="J92" s="83">
        <f>SUM(J65:J91)</f>
        <v>83275050</v>
      </c>
      <c r="L92" s="54"/>
      <c r="O92" s="73"/>
    </row>
    <row r="93" spans="3:15" x14ac:dyDescent="0.3">
      <c r="C93" s="58"/>
      <c r="D93" s="45" t="s">
        <v>115</v>
      </c>
      <c r="E93" s="15" t="s">
        <v>116</v>
      </c>
      <c r="F93" s="84">
        <v>65000</v>
      </c>
      <c r="G93" s="52"/>
      <c r="H93" s="52">
        <f t="shared" ref="H93:H95" si="19">+G93*F93</f>
        <v>0</v>
      </c>
      <c r="I93" s="52">
        <v>14</v>
      </c>
      <c r="J93" s="52">
        <f t="shared" ref="J93:J95" si="20">+I93*F93</f>
        <v>910000</v>
      </c>
      <c r="O93" s="73"/>
    </row>
    <row r="94" spans="3:15" x14ac:dyDescent="0.3">
      <c r="C94" s="58"/>
      <c r="D94" s="64" t="s">
        <v>117</v>
      </c>
      <c r="E94" s="74" t="s">
        <v>23</v>
      </c>
      <c r="F94" s="75">
        <f>28000</f>
        <v>28000</v>
      </c>
      <c r="G94" s="52">
        <v>5</v>
      </c>
      <c r="H94" s="52">
        <f t="shared" si="19"/>
        <v>140000</v>
      </c>
      <c r="I94" s="52">
        <f>+G94</f>
        <v>5</v>
      </c>
      <c r="J94" s="52">
        <f t="shared" si="20"/>
        <v>140000</v>
      </c>
      <c r="O94" s="73"/>
    </row>
    <row r="95" spans="3:15" x14ac:dyDescent="0.3">
      <c r="C95" s="58"/>
      <c r="D95" s="64" t="s">
        <v>118</v>
      </c>
      <c r="E95" s="74" t="s">
        <v>23</v>
      </c>
      <c r="F95" s="75">
        <f>35500</f>
        <v>35500</v>
      </c>
      <c r="G95" s="52">
        <v>5</v>
      </c>
      <c r="H95" s="52">
        <f t="shared" si="19"/>
        <v>177500</v>
      </c>
      <c r="I95" s="52">
        <f>+G95</f>
        <v>5</v>
      </c>
      <c r="J95" s="52">
        <f t="shared" si="20"/>
        <v>177500</v>
      </c>
      <c r="O95" s="73"/>
    </row>
    <row r="96" spans="3:15" x14ac:dyDescent="0.3">
      <c r="C96" s="51"/>
      <c r="D96" s="18" t="s">
        <v>45</v>
      </c>
      <c r="E96" s="19" t="s">
        <v>76</v>
      </c>
      <c r="F96" s="20">
        <v>2500000</v>
      </c>
      <c r="G96" s="52">
        <v>2</v>
      </c>
      <c r="H96" s="52">
        <f>+G96*F96</f>
        <v>5000000</v>
      </c>
      <c r="I96" s="52">
        <v>5</v>
      </c>
      <c r="J96" s="52">
        <f>+I96*F96</f>
        <v>12500000</v>
      </c>
      <c r="L96" s="2"/>
      <c r="M96" s="85"/>
      <c r="N96" s="85"/>
      <c r="O96" s="73"/>
    </row>
    <row r="97" spans="3:15" x14ac:dyDescent="0.3">
      <c r="C97" s="58" t="s">
        <v>119</v>
      </c>
      <c r="D97" s="86" t="s">
        <v>120</v>
      </c>
      <c r="E97" s="19"/>
      <c r="F97" s="20"/>
      <c r="G97" s="52"/>
      <c r="H97" s="87">
        <f>+H96+H93+H94+H95</f>
        <v>5317500</v>
      </c>
      <c r="I97" s="83"/>
      <c r="J97" s="87">
        <f>+J96+J93+J94+J95</f>
        <v>13727500</v>
      </c>
      <c r="L97" s="2"/>
      <c r="M97" s="85"/>
      <c r="N97" s="85"/>
      <c r="O97" s="73"/>
    </row>
    <row r="98" spans="3:15" x14ac:dyDescent="0.3">
      <c r="C98" s="58" t="s">
        <v>121</v>
      </c>
      <c r="D98" s="68" t="s">
        <v>122</v>
      </c>
      <c r="E98" s="58"/>
      <c r="F98" s="69"/>
      <c r="G98" s="50"/>
      <c r="H98" s="88">
        <f>+H92+H64+H97</f>
        <v>17786500</v>
      </c>
      <c r="I98" s="50"/>
      <c r="J98" s="88">
        <f>+J92+J64+J97</f>
        <v>107093086</v>
      </c>
      <c r="L98" s="2"/>
      <c r="M98" s="89"/>
      <c r="N98" s="89"/>
      <c r="O98" s="73"/>
    </row>
    <row r="99" spans="3:15" x14ac:dyDescent="0.3">
      <c r="C99" s="51"/>
      <c r="D99" s="45" t="s">
        <v>123</v>
      </c>
      <c r="E99" s="51"/>
      <c r="F99" s="82"/>
      <c r="G99" s="83"/>
      <c r="H99" s="53">
        <v>0</v>
      </c>
      <c r="I99" s="30"/>
      <c r="J99" s="53">
        <v>0</v>
      </c>
      <c r="K99" s="90"/>
      <c r="L99" s="62"/>
      <c r="M99" s="85"/>
      <c r="N99" s="85"/>
      <c r="O99" s="85"/>
    </row>
    <row r="100" spans="3:15" x14ac:dyDescent="0.3">
      <c r="C100" s="58" t="s">
        <v>124</v>
      </c>
      <c r="D100" s="68" t="s">
        <v>125</v>
      </c>
      <c r="E100" s="58"/>
      <c r="F100" s="69"/>
      <c r="G100" s="50"/>
      <c r="H100" s="88">
        <f>H59+H98</f>
        <v>48713753</v>
      </c>
      <c r="I100" s="70"/>
      <c r="J100" s="88">
        <f>J59+J98</f>
        <v>339613389</v>
      </c>
      <c r="O100" s="91"/>
    </row>
    <row r="101" spans="3:15" x14ac:dyDescent="0.3">
      <c r="C101" s="58" t="s">
        <v>126</v>
      </c>
      <c r="D101" s="68" t="s">
        <v>127</v>
      </c>
      <c r="E101" s="58"/>
      <c r="F101" s="69"/>
      <c r="G101" s="50"/>
      <c r="H101" s="88">
        <f>+H99*0.1+H100*0.1</f>
        <v>4871375.3</v>
      </c>
      <c r="I101" s="70"/>
      <c r="J101" s="88">
        <f>+J99*0.1+J100*0.1</f>
        <v>33961338.899999999</v>
      </c>
      <c r="N101" s="89"/>
      <c r="O101" s="71"/>
    </row>
    <row r="102" spans="3:15" x14ac:dyDescent="0.3">
      <c r="C102" s="58" t="s">
        <v>128</v>
      </c>
      <c r="D102" s="68" t="s">
        <v>129</v>
      </c>
      <c r="E102" s="58"/>
      <c r="F102" s="69"/>
      <c r="G102" s="50"/>
      <c r="H102" s="88">
        <f>SUM(H99:H101)</f>
        <v>53585128.299999997</v>
      </c>
      <c r="I102" s="70"/>
      <c r="J102" s="88">
        <f>SUM(J99:J101)</f>
        <v>373574727.89999998</v>
      </c>
      <c r="O102" s="7"/>
    </row>
    <row r="103" spans="3:15" x14ac:dyDescent="0.3">
      <c r="D103" s="92"/>
      <c r="N103" s="89"/>
      <c r="O103" s="71"/>
    </row>
    <row r="104" spans="3:15" x14ac:dyDescent="0.3">
      <c r="D104" s="92" t="s">
        <v>130</v>
      </c>
      <c r="H104" s="93"/>
      <c r="I104" s="93"/>
    </row>
    <row r="105" spans="3:15" x14ac:dyDescent="0.3">
      <c r="D105" s="8" t="s">
        <v>131</v>
      </c>
      <c r="G105" s="94" t="s">
        <v>132</v>
      </c>
      <c r="H105" s="95"/>
    </row>
    <row r="106" spans="3:15" x14ac:dyDescent="0.3">
      <c r="D106" s="8"/>
      <c r="H106" s="94"/>
    </row>
    <row r="107" spans="3:15" x14ac:dyDescent="0.3">
      <c r="D107" s="8" t="s">
        <v>133</v>
      </c>
      <c r="G107" s="94" t="s">
        <v>134</v>
      </c>
      <c r="H107" s="95"/>
    </row>
    <row r="108" spans="3:15" x14ac:dyDescent="0.3">
      <c r="D108" s="8"/>
      <c r="G108" s="94"/>
      <c r="H108" s="94"/>
    </row>
    <row r="109" spans="3:15" x14ac:dyDescent="0.3">
      <c r="D109" s="96" t="s">
        <v>135</v>
      </c>
      <c r="G109" s="94" t="s">
        <v>136</v>
      </c>
      <c r="H109" s="94"/>
    </row>
    <row r="110" spans="3:15" x14ac:dyDescent="0.3">
      <c r="D110" s="92" t="s">
        <v>137</v>
      </c>
      <c r="H110" s="94"/>
    </row>
    <row r="112" spans="3:15" x14ac:dyDescent="0.3">
      <c r="D112" t="s">
        <v>138</v>
      </c>
      <c r="G112" s="94" t="s">
        <v>139</v>
      </c>
    </row>
    <row r="114" spans="4:7" x14ac:dyDescent="0.3">
      <c r="D114" s="92" t="s">
        <v>140</v>
      </c>
    </row>
    <row r="115" spans="4:7" x14ac:dyDescent="0.3">
      <c r="D115" t="s">
        <v>141</v>
      </c>
      <c r="G115" s="94" t="s">
        <v>142</v>
      </c>
    </row>
    <row r="116" spans="4:7" x14ac:dyDescent="0.3">
      <c r="G116" s="94"/>
    </row>
    <row r="117" spans="4:7" x14ac:dyDescent="0.3">
      <c r="D117" t="s">
        <v>143</v>
      </c>
      <c r="G117" s="2" t="s">
        <v>144</v>
      </c>
    </row>
  </sheetData>
  <mergeCells count="14">
    <mergeCell ref="H104:I104"/>
    <mergeCell ref="C12:J12"/>
    <mergeCell ref="C13:C14"/>
    <mergeCell ref="D13:D14"/>
    <mergeCell ref="E13:E14"/>
    <mergeCell ref="F13:F14"/>
    <mergeCell ref="G13:H13"/>
    <mergeCell ref="I13:J13"/>
    <mergeCell ref="C1:J1"/>
    <mergeCell ref="C2:J2"/>
    <mergeCell ref="C3:J3"/>
    <mergeCell ref="D6:J6"/>
    <mergeCell ref="D7:J7"/>
    <mergeCell ref="C10:J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2024-11-20T15:42:12Z</dcterms:created>
  <dcterms:modified xsi:type="dcterms:W3CDTF">2024-11-20T15:46:06Z</dcterms:modified>
</cp:coreProperties>
</file>